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anka\Desktop\puvod-data\dokum\STAŇKA\Práce\JKkámen\2022\CENÍK\"/>
    </mc:Choice>
  </mc:AlternateContent>
  <bookViews>
    <workbookView xWindow="0" yWindow="0" windowWidth="20490" windowHeight="7620"/>
  </bookViews>
  <sheets>
    <sheet name="CENIK" sheetId="5" r:id="rId1"/>
    <sheet name="SEZNAMY" sheetId="8" state="hidden" r:id="rId2"/>
    <sheet name="List9" sheetId="9" state="hidden" r:id="rId3"/>
    <sheet name="spotřeba" sheetId="1" state="hidden" r:id="rId4"/>
    <sheet name="Ceník EMZ 80" sheetId="2" state="hidden" r:id="rId5"/>
    <sheet name="Ceník EMZ 100" sheetId="3" state="hidden" r:id="rId6"/>
    <sheet name="WALL" sheetId="4" state="hidden" r:id="rId7"/>
    <sheet name="chemie" sheetId="6" state="hidden" r:id="rId8"/>
    <sheet name="lišty" sheetId="7" state="hidden" r:id="rId9"/>
  </sheets>
  <definedNames>
    <definedName name="_xlnm._FilterDatabase" localSheetId="5" hidden="1">'Ceník EMZ 100'!$A$1:$A$140</definedName>
    <definedName name="_xlnm._FilterDatabase" localSheetId="4" hidden="1">'Ceník EMZ 80'!$A$1:$P$252</definedName>
    <definedName name="_xlnm._FilterDatabase" localSheetId="1" hidden="1">SEZNAMY!$G$2:$H$140</definedName>
    <definedName name="_xlnm._FilterDatabase" localSheetId="6" hidden="1">WALL!$B$5:$L$69</definedName>
    <definedName name="BEZ_PLNICE">SEZNAMY!$M$34:$R$36</definedName>
    <definedName name="CENA_HYDRO">SEZNAMY!$O$11:$Q$11</definedName>
    <definedName name="CENA_PENETRACE">SEZNAMY!$O$7:$Q$7</definedName>
    <definedName name="CENA_PLNICE">SEZNAMY!$O$2:$Q$4</definedName>
    <definedName name="CENA_POSYPU">SEZNAMY!$O$8:$Q$8</definedName>
    <definedName name="CENIK_EMZ_100">'Ceník EMZ 100'!$A$5:$P$140</definedName>
    <definedName name="CENIK_EMZ_80">'Ceník EMZ 80'!$A$5:$P$140</definedName>
    <definedName name="CENIK_WALL">WALL!$A$5:$L$69</definedName>
    <definedName name="CISLO_RADKU">CENIK!$A$10</definedName>
    <definedName name="DOPORUCENO_SETU">CENIK!$I$16</definedName>
    <definedName name="DOPORUCENO_SETU_SVISLA">CENIK!$I$34</definedName>
    <definedName name="DRUH_KAMENIVA">SEZNAMY!$J$3:$J$138</definedName>
    <definedName name="DRUH_KOBERCE">SEZNAMY!$R$2:$R$3</definedName>
    <definedName name="DRUH_MISTA">CENIK!$D$6</definedName>
    <definedName name="DRUH_PLNICE">CENIK!$D$43</definedName>
    <definedName name="DRUH_PROSTORU">SEZNAMY!$A$2:$A$3</definedName>
    <definedName name="DRUH_WALL_KAMENIVA">SEZNAMY!$D$7:$D$73</definedName>
    <definedName name="HYDRO">CENIK!$I$42</definedName>
    <definedName name="HYDROIZOLACE">SEZNAMY!$N$2</definedName>
    <definedName name="CHCI_HYDROIZOLACI">CENIK!$A$22</definedName>
    <definedName name="CHCI_PENETRACI">CENIK!$A$18</definedName>
    <definedName name="CHCI_PLNIC">CENIK!$D$24</definedName>
    <definedName name="CHCI_POSYP">CENIK!$A$20</definedName>
    <definedName name="JEDNOTKA">CENIK!$L$16</definedName>
    <definedName name="JEDNOTKA_SVISLA">CENIK!$L$34</definedName>
    <definedName name="MOJE_FRAKCE">CENIK!$N$10</definedName>
    <definedName name="_xlnm.Print_Titles" localSheetId="5">'Ceník EMZ 100'!$1:$4</definedName>
    <definedName name="_xlnm.Print_Titles" localSheetId="4">'Ceník EMZ 80'!$1:$4</definedName>
    <definedName name="OBJ_KAMENIVO">CENIK!$J$10</definedName>
    <definedName name="OBJ_KOD">CENIK!$I$10</definedName>
    <definedName name="OBJ_SVISLY_KAMENIVO">CENIK!$J$28</definedName>
    <definedName name="OBJ_SVISLY_KOD">CENIK!$I$28</definedName>
    <definedName name="_xlnm.Print_Area" localSheetId="0">CENIK!$C$1:$O$44</definedName>
    <definedName name="_xlnm.Print_Area" localSheetId="5">'Ceník EMZ 100'!$B$1:$P$140</definedName>
    <definedName name="_xlnm.Print_Area" localSheetId="4">'Ceník EMZ 80'!$B$1:$P$140</definedName>
    <definedName name="PENETRACE">SEZNAMY!$L$2</definedName>
    <definedName name="Penetrace_VP">CENIK!$I$40</definedName>
    <definedName name="PENETRACNI_POSYP">SEZNAMY!$M$2</definedName>
    <definedName name="PLNIC_100">SEZNAMY!$M$29:$R$31</definedName>
    <definedName name="PLNIC_60">SEZNAMY!$M$17:$R$19</definedName>
    <definedName name="PLNIC_80">SEZNAMY!$M$23:$R$25</definedName>
    <definedName name="PLNIC_poru">CENIK!$I$43</definedName>
    <definedName name="POCET_HYDRO">CENIK!$I$22</definedName>
    <definedName name="POCET_PENETRACE">CENIK!$I$18</definedName>
    <definedName name="POCET_PLNIC">CENIK!$I$24</definedName>
    <definedName name="POCET_POSYP">CENIK!$I$20</definedName>
    <definedName name="POCET_SETU_ZAKLAD">CENIK!$I$14</definedName>
    <definedName name="POCET_SETU_ZAKLAD_SVISLA">CENIK!$I$32</definedName>
    <definedName name="Poszp_VP">CENIK!$I$41</definedName>
    <definedName name="RADEK_SVISLA_PLOCHA">CENIK!$A$28</definedName>
    <definedName name="SEZNAM_KAMENIVA">SEZNAMY!$G$3:$J$138</definedName>
    <definedName name="SEZNAM_PLNICU">SEZNAMY!$O$2:$O$5</definedName>
    <definedName name="SEZNAM_WALL_KAMENIVA">SEZNAMY!$A$7:$D$73</definedName>
    <definedName name="SP_FRAKCE">CENIK!$H$39</definedName>
    <definedName name="SP_KOD">CENIK!$E$39</definedName>
    <definedName name="SP_SET">CENIK!$I$39</definedName>
    <definedName name="SPOTREBA_vodorovna">spotřeba!$A$6:$D$9</definedName>
    <definedName name="SPOTREBA_VSE">spotřeba!$A$5:$D$9</definedName>
    <definedName name="SVISLA_FRAKCE">CENIK!$N$28</definedName>
    <definedName name="TEST_VYBERU">CENIK!$O$8</definedName>
    <definedName name="TEST1">List9!$D$17:$D$19</definedName>
    <definedName name="TEST2">List9!$E$17:$E$19</definedName>
    <definedName name="TLOUSTKA_SVISLA">spotřeba!$A$20:$B$22</definedName>
    <definedName name="VP_FRAKCE">CENIK!$H$38</definedName>
    <definedName name="VP_KOD">CENIK!$E$38</definedName>
    <definedName name="VP_SET">CENIK!$I$38</definedName>
    <definedName name="VSECHNY_PLNICE">SEZNAMY!$L$16:$R$31</definedName>
    <definedName name="VYBER_PRO_CENNIK">CENIK!$H$8</definedName>
    <definedName name="VYBRANA_TLOUSTKA">CENIK!$A$12</definedName>
    <definedName name="VYBRANA_TLOUSTKA_SVISLA">CENIK!$A$30</definedName>
    <definedName name="VYPOCET_10_PROCENT">CENIK!$D$16</definedName>
    <definedName name="VYPOCET_10_PROCENT_SVISLA">CENIK!$D$34</definedName>
    <definedName name="ZADANA_PLOCHA">CENIK!$D$14</definedName>
    <definedName name="ZADANA_svisla_PLOCHA">CENIK!$D$32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6" l="1"/>
  <c r="I30" i="5" l="1"/>
  <c r="O8" i="5" l="1"/>
  <c r="E36" i="5" l="1"/>
  <c r="D36" i="5"/>
  <c r="D43" i="5" l="1"/>
  <c r="Q11" i="8"/>
  <c r="Q4" i="8"/>
  <c r="Q3" i="8"/>
  <c r="Q2" i="8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5" i="3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5" i="2"/>
  <c r="N28" i="5" l="1"/>
  <c r="H39" i="5" s="1"/>
  <c r="I28" i="5"/>
  <c r="J28" i="5"/>
  <c r="F39" i="5" s="1"/>
  <c r="D15" i="8"/>
  <c r="D18" i="8"/>
  <c r="D16" i="8"/>
  <c r="D57" i="8"/>
  <c r="D54" i="8"/>
  <c r="D35" i="8"/>
  <c r="D49" i="8"/>
  <c r="D55" i="8"/>
  <c r="D71" i="8"/>
  <c r="D14" i="8"/>
  <c r="D45" i="8"/>
  <c r="D19" i="8"/>
  <c r="D43" i="8"/>
  <c r="D24" i="8"/>
  <c r="D59" i="8"/>
  <c r="D58" i="8"/>
  <c r="D73" i="8"/>
  <c r="D29" i="8"/>
  <c r="D63" i="8"/>
  <c r="D38" i="8"/>
  <c r="D12" i="8"/>
  <c r="D34" i="8"/>
  <c r="D44" i="8"/>
  <c r="D56" i="8"/>
  <c r="D51" i="8"/>
  <c r="D22" i="8"/>
  <c r="D8" i="8"/>
  <c r="D27" i="8"/>
  <c r="D20" i="8"/>
  <c r="D41" i="8"/>
  <c r="D13" i="8"/>
  <c r="D48" i="8"/>
  <c r="D32" i="8"/>
  <c r="D26" i="8"/>
  <c r="D21" i="8"/>
  <c r="D30" i="8"/>
  <c r="D40" i="8"/>
  <c r="D47" i="8"/>
  <c r="D66" i="8"/>
  <c r="D70" i="8"/>
  <c r="D39" i="8"/>
  <c r="D67" i="8"/>
  <c r="D28" i="8"/>
  <c r="D65" i="8"/>
  <c r="D33" i="8"/>
  <c r="D62" i="8"/>
  <c r="D11" i="8"/>
  <c r="D17" i="8"/>
  <c r="D31" i="8"/>
  <c r="D36" i="8"/>
  <c r="D37" i="8"/>
  <c r="D64" i="8"/>
  <c r="D61" i="8"/>
  <c r="D10" i="8"/>
  <c r="D42" i="8"/>
  <c r="D69" i="8"/>
  <c r="D50" i="8"/>
  <c r="D23" i="8"/>
  <c r="D60" i="8"/>
  <c r="D72" i="8"/>
  <c r="D52" i="8"/>
  <c r="D46" i="8"/>
  <c r="D7" i="8"/>
  <c r="D53" i="8"/>
  <c r="D68" i="8"/>
  <c r="D25" i="8"/>
  <c r="D9" i="8"/>
  <c r="I18" i="5"/>
  <c r="I40" i="5" s="1"/>
  <c r="I22" i="5"/>
  <c r="I42" i="5" s="1"/>
  <c r="I20" i="5"/>
  <c r="I41" i="5" s="1"/>
  <c r="D16" i="5"/>
  <c r="I16" i="5" s="1"/>
  <c r="I14" i="5"/>
  <c r="I23" i="5"/>
  <c r="I11" i="5"/>
  <c r="I38" i="5" l="1"/>
  <c r="E39" i="5"/>
  <c r="M42" i="5"/>
  <c r="K42" i="5"/>
  <c r="M41" i="5"/>
  <c r="K41" i="5"/>
  <c r="M40" i="5"/>
  <c r="K40" i="5"/>
  <c r="J40" i="5"/>
  <c r="J41" i="5"/>
  <c r="J42" i="5"/>
  <c r="R35" i="8"/>
  <c r="R36" i="8"/>
  <c r="R34" i="8"/>
  <c r="Q31" i="8"/>
  <c r="O31" i="8"/>
  <c r="Q30" i="8"/>
  <c r="O30" i="8"/>
  <c r="Q29" i="8"/>
  <c r="O29" i="8"/>
  <c r="Q25" i="8"/>
  <c r="O25" i="8"/>
  <c r="Q24" i="8"/>
  <c r="O24" i="8"/>
  <c r="Q23" i="8"/>
  <c r="O23" i="8"/>
  <c r="Q19" i="8"/>
  <c r="O19" i="8"/>
  <c r="Q18" i="8"/>
  <c r="O18" i="8"/>
  <c r="Q17" i="8"/>
  <c r="O17" i="8"/>
  <c r="I12" i="5" l="1"/>
  <c r="I10" i="5"/>
  <c r="N10" i="5"/>
  <c r="H38" i="5" s="1"/>
  <c r="J10" i="5"/>
  <c r="F38" i="5" s="1"/>
  <c r="D5" i="1"/>
  <c r="L14" i="5" l="1"/>
  <c r="L16" i="5"/>
  <c r="J38" i="5" s="1"/>
  <c r="E38" i="5"/>
  <c r="P10" i="5"/>
  <c r="I24" i="5"/>
  <c r="I43" i="5" s="1"/>
  <c r="P24" i="5"/>
  <c r="J7" i="8"/>
  <c r="J28" i="8"/>
  <c r="J108" i="8"/>
  <c r="J39" i="8"/>
  <c r="J40" i="8"/>
  <c r="J127" i="8"/>
  <c r="J128" i="8"/>
  <c r="J96" i="8"/>
  <c r="J97" i="8"/>
  <c r="J3" i="8"/>
  <c r="J4" i="8"/>
  <c r="J82" i="8"/>
  <c r="J83" i="8"/>
  <c r="J94" i="8"/>
  <c r="J95" i="8"/>
  <c r="J135" i="8"/>
  <c r="J136" i="8"/>
  <c r="J111" i="8"/>
  <c r="J112" i="8"/>
  <c r="J35" i="8"/>
  <c r="J36" i="8"/>
  <c r="J90" i="8"/>
  <c r="J91" i="8"/>
  <c r="J129" i="8"/>
  <c r="J130" i="8"/>
  <c r="J74" i="8"/>
  <c r="J75" i="8"/>
  <c r="J8" i="8"/>
  <c r="J9" i="8"/>
  <c r="J113" i="8"/>
  <c r="J114" i="8"/>
  <c r="J119" i="8"/>
  <c r="J120" i="8"/>
  <c r="J64" i="8"/>
  <c r="J65" i="8"/>
  <c r="J62" i="8"/>
  <c r="J63" i="8"/>
  <c r="J51" i="8"/>
  <c r="J52" i="8"/>
  <c r="J22" i="8"/>
  <c r="J23" i="8"/>
  <c r="J10" i="8"/>
  <c r="J11" i="8"/>
  <c r="J115" i="8"/>
  <c r="J116" i="8"/>
  <c r="J55" i="8"/>
  <c r="J56" i="8"/>
  <c r="J121" i="8"/>
  <c r="J122" i="8"/>
  <c r="J45" i="8"/>
  <c r="J46" i="8"/>
  <c r="J125" i="8"/>
  <c r="J126" i="8"/>
  <c r="J68" i="8"/>
  <c r="J69" i="8"/>
  <c r="J131" i="8"/>
  <c r="J132" i="8"/>
  <c r="J123" i="8"/>
  <c r="J124" i="8"/>
  <c r="J84" i="8"/>
  <c r="J85" i="8"/>
  <c r="J70" i="8"/>
  <c r="J71" i="8"/>
  <c r="J49" i="8"/>
  <c r="J50" i="8"/>
  <c r="J31" i="8"/>
  <c r="J32" i="8"/>
  <c r="J41" i="8"/>
  <c r="J42" i="8"/>
  <c r="J53" i="8"/>
  <c r="J54" i="8"/>
  <c r="J86" i="8"/>
  <c r="J87" i="8"/>
  <c r="J14" i="8"/>
  <c r="J15" i="8"/>
  <c r="J72" i="8"/>
  <c r="J73" i="8"/>
  <c r="J29" i="8"/>
  <c r="J30" i="8"/>
  <c r="J43" i="8"/>
  <c r="J44" i="8"/>
  <c r="J5" i="8"/>
  <c r="J6" i="8"/>
  <c r="J33" i="8"/>
  <c r="J34" i="8"/>
  <c r="J92" i="8"/>
  <c r="J93" i="8"/>
  <c r="J102" i="8"/>
  <c r="J103" i="8"/>
  <c r="J78" i="8"/>
  <c r="J79" i="8"/>
  <c r="J57" i="8"/>
  <c r="J58" i="8"/>
  <c r="J12" i="8"/>
  <c r="J13" i="8"/>
  <c r="J66" i="8"/>
  <c r="J67" i="8"/>
  <c r="J117" i="8"/>
  <c r="J118" i="8"/>
  <c r="J47" i="8"/>
  <c r="J48" i="8"/>
  <c r="J137" i="8"/>
  <c r="J138" i="8"/>
  <c r="J106" i="8"/>
  <c r="J107" i="8"/>
  <c r="J109" i="8"/>
  <c r="J110" i="8"/>
  <c r="J37" i="8"/>
  <c r="J38" i="8"/>
  <c r="J76" i="8"/>
  <c r="J77" i="8"/>
  <c r="J26" i="8"/>
  <c r="J27" i="8"/>
  <c r="J80" i="8"/>
  <c r="J81" i="8"/>
  <c r="J16" i="8"/>
  <c r="J17" i="8"/>
  <c r="J133" i="8"/>
  <c r="J134" i="8"/>
  <c r="J100" i="8"/>
  <c r="J101" i="8"/>
  <c r="J88" i="8"/>
  <c r="J89" i="8"/>
  <c r="J59" i="8"/>
  <c r="J60" i="8"/>
  <c r="J98" i="8"/>
  <c r="J99" i="8"/>
  <c r="J104" i="8"/>
  <c r="J105" i="8"/>
  <c r="J20" i="8"/>
  <c r="J21" i="8"/>
  <c r="J24" i="8"/>
  <c r="J25" i="8"/>
  <c r="J18" i="8"/>
  <c r="J19" i="8"/>
  <c r="J61" i="8"/>
  <c r="M38" i="5" l="1"/>
  <c r="K38" i="5"/>
  <c r="M43" i="5"/>
  <c r="K43" i="5"/>
  <c r="J43" i="5"/>
  <c r="D75" i="7"/>
  <c r="D74" i="7"/>
  <c r="D73" i="7"/>
  <c r="D72" i="7"/>
  <c r="D71" i="7"/>
  <c r="D70" i="7"/>
  <c r="D69" i="7"/>
  <c r="K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39" i="7"/>
  <c r="D38" i="7"/>
  <c r="D37" i="7"/>
  <c r="K32" i="7"/>
  <c r="D31" i="7"/>
  <c r="D30" i="7"/>
  <c r="D29" i="7"/>
  <c r="D28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J50" i="6"/>
  <c r="G50" i="6"/>
  <c r="I46" i="6"/>
  <c r="I45" i="6"/>
  <c r="I44" i="6"/>
  <c r="I43" i="6"/>
  <c r="I42" i="6"/>
  <c r="G34" i="6"/>
  <c r="J33" i="6"/>
  <c r="G33" i="6"/>
  <c r="J28" i="6"/>
  <c r="G28" i="6"/>
  <c r="J27" i="6"/>
  <c r="G27" i="6"/>
  <c r="A24" i="6"/>
  <c r="E19" i="6"/>
  <c r="E18" i="6"/>
  <c r="E17" i="6"/>
  <c r="B17" i="6"/>
  <c r="E11" i="6"/>
  <c r="C7" i="6"/>
  <c r="C6" i="6"/>
  <c r="E5" i="6"/>
  <c r="C5" i="6"/>
  <c r="B5" i="6" s="1"/>
  <c r="K13" i="4" l="1"/>
  <c r="I13" i="4"/>
  <c r="G13" i="4"/>
  <c r="F13" i="4"/>
  <c r="L13" i="4" s="1"/>
  <c r="K16" i="4"/>
  <c r="I16" i="4"/>
  <c r="G16" i="4"/>
  <c r="F16" i="4"/>
  <c r="L16" i="4" s="1"/>
  <c r="K14" i="4"/>
  <c r="I14" i="4"/>
  <c r="G14" i="4"/>
  <c r="F14" i="4"/>
  <c r="L14" i="4" s="1"/>
  <c r="K54" i="4"/>
  <c r="I54" i="4"/>
  <c r="G54" i="4"/>
  <c r="F54" i="4"/>
  <c r="L54" i="4" s="1"/>
  <c r="K51" i="4"/>
  <c r="I51" i="4"/>
  <c r="G51" i="4"/>
  <c r="F51" i="4"/>
  <c r="J51" i="4" s="1"/>
  <c r="K33" i="4"/>
  <c r="I33" i="4"/>
  <c r="G33" i="4"/>
  <c r="F33" i="4"/>
  <c r="H33" i="4" s="1"/>
  <c r="K46" i="4"/>
  <c r="I46" i="4"/>
  <c r="G46" i="4"/>
  <c r="F46" i="4"/>
  <c r="K52" i="4"/>
  <c r="I52" i="4"/>
  <c r="G52" i="4"/>
  <c r="F52" i="4"/>
  <c r="L52" i="4" s="1"/>
  <c r="K67" i="4"/>
  <c r="I67" i="4"/>
  <c r="G67" i="4"/>
  <c r="F67" i="4"/>
  <c r="L67" i="4" s="1"/>
  <c r="K12" i="4"/>
  <c r="I12" i="4"/>
  <c r="G12" i="4"/>
  <c r="F12" i="4"/>
  <c r="L12" i="4" s="1"/>
  <c r="K42" i="4"/>
  <c r="I42" i="4"/>
  <c r="G42" i="4"/>
  <c r="F42" i="4"/>
  <c r="L42" i="4" s="1"/>
  <c r="K17" i="4"/>
  <c r="I17" i="4"/>
  <c r="G17" i="4"/>
  <c r="F17" i="4"/>
  <c r="L17" i="4" s="1"/>
  <c r="K40" i="4"/>
  <c r="I40" i="4"/>
  <c r="G40" i="4"/>
  <c r="F40" i="4"/>
  <c r="L40" i="4" s="1"/>
  <c r="K22" i="4"/>
  <c r="I22" i="4"/>
  <c r="G22" i="4"/>
  <c r="F22" i="4"/>
  <c r="L22" i="4" s="1"/>
  <c r="K56" i="4"/>
  <c r="I56" i="4"/>
  <c r="G56" i="4"/>
  <c r="F56" i="4"/>
  <c r="L56" i="4" s="1"/>
  <c r="K55" i="4"/>
  <c r="I55" i="4"/>
  <c r="G55" i="4"/>
  <c r="F55" i="4"/>
  <c r="H55" i="4" s="1"/>
  <c r="K69" i="4"/>
  <c r="I69" i="4"/>
  <c r="G69" i="4"/>
  <c r="F69" i="4"/>
  <c r="H69" i="4" s="1"/>
  <c r="K27" i="4"/>
  <c r="I27" i="4"/>
  <c r="G27" i="4"/>
  <c r="F27" i="4"/>
  <c r="K10" i="4"/>
  <c r="I10" i="4"/>
  <c r="G10" i="4"/>
  <c r="F10" i="4"/>
  <c r="J10" i="4" s="1"/>
  <c r="K32" i="4"/>
  <c r="I32" i="4"/>
  <c r="G32" i="4"/>
  <c r="F32" i="4"/>
  <c r="L32" i="4" s="1"/>
  <c r="K41" i="4"/>
  <c r="I41" i="4"/>
  <c r="G41" i="4"/>
  <c r="F41" i="4"/>
  <c r="L41" i="4" s="1"/>
  <c r="K53" i="4"/>
  <c r="I53" i="4"/>
  <c r="G53" i="4"/>
  <c r="F53" i="4"/>
  <c r="H53" i="4" s="1"/>
  <c r="K48" i="4"/>
  <c r="I48" i="4"/>
  <c r="G48" i="4"/>
  <c r="F48" i="4"/>
  <c r="J48" i="4" s="1"/>
  <c r="K20" i="4"/>
  <c r="I20" i="4"/>
  <c r="G20" i="4"/>
  <c r="F20" i="4"/>
  <c r="L20" i="4" s="1"/>
  <c r="K6" i="4"/>
  <c r="I6" i="4"/>
  <c r="G6" i="4"/>
  <c r="F6" i="4"/>
  <c r="L6" i="4" s="1"/>
  <c r="K25" i="4"/>
  <c r="I25" i="4"/>
  <c r="G25" i="4"/>
  <c r="F25" i="4"/>
  <c r="L25" i="4" s="1"/>
  <c r="K18" i="4"/>
  <c r="I18" i="4"/>
  <c r="G18" i="4"/>
  <c r="F18" i="4"/>
  <c r="L18" i="4" s="1"/>
  <c r="K38" i="4"/>
  <c r="I38" i="4"/>
  <c r="G38" i="4"/>
  <c r="F38" i="4"/>
  <c r="H38" i="4" s="1"/>
  <c r="K11" i="4"/>
  <c r="I11" i="4"/>
  <c r="G11" i="4"/>
  <c r="F11" i="4"/>
  <c r="H11" i="4" s="1"/>
  <c r="K45" i="4"/>
  <c r="I45" i="4"/>
  <c r="G45" i="4"/>
  <c r="F45" i="4"/>
  <c r="K30" i="4"/>
  <c r="I30" i="4"/>
  <c r="G30" i="4"/>
  <c r="F30" i="4"/>
  <c r="L30" i="4" s="1"/>
  <c r="K24" i="4"/>
  <c r="I24" i="4"/>
  <c r="G24" i="4"/>
  <c r="F24" i="4"/>
  <c r="H24" i="4" s="1"/>
  <c r="K19" i="4"/>
  <c r="I19" i="4"/>
  <c r="G19" i="4"/>
  <c r="F19" i="4"/>
  <c r="J19" i="4" s="1"/>
  <c r="K28" i="4"/>
  <c r="I28" i="4"/>
  <c r="G28" i="4"/>
  <c r="F28" i="4"/>
  <c r="K37" i="4"/>
  <c r="I37" i="4"/>
  <c r="G37" i="4"/>
  <c r="F37" i="4"/>
  <c r="J37" i="4" s="1"/>
  <c r="K44" i="4"/>
  <c r="I44" i="4"/>
  <c r="G44" i="4"/>
  <c r="F44" i="4"/>
  <c r="L44" i="4" s="1"/>
  <c r="K62" i="4"/>
  <c r="I62" i="4"/>
  <c r="G62" i="4"/>
  <c r="F62" i="4"/>
  <c r="L62" i="4" s="1"/>
  <c r="K66" i="4"/>
  <c r="I66" i="4"/>
  <c r="G66" i="4"/>
  <c r="F66" i="4"/>
  <c r="L66" i="4" s="1"/>
  <c r="K36" i="4"/>
  <c r="I36" i="4"/>
  <c r="G36" i="4"/>
  <c r="F36" i="4"/>
  <c r="H36" i="4" s="1"/>
  <c r="K63" i="4"/>
  <c r="I63" i="4"/>
  <c r="G63" i="4"/>
  <c r="F63" i="4"/>
  <c r="L63" i="4" s="1"/>
  <c r="K26" i="4"/>
  <c r="I26" i="4"/>
  <c r="G26" i="4"/>
  <c r="F26" i="4"/>
  <c r="H26" i="4" s="1"/>
  <c r="K61" i="4"/>
  <c r="I61" i="4"/>
  <c r="G61" i="4"/>
  <c r="F61" i="4"/>
  <c r="L61" i="4" s="1"/>
  <c r="K31" i="4"/>
  <c r="I31" i="4"/>
  <c r="G31" i="4"/>
  <c r="F31" i="4"/>
  <c r="K59" i="4"/>
  <c r="I59" i="4"/>
  <c r="G59" i="4"/>
  <c r="F59" i="4"/>
  <c r="J59" i="4" s="1"/>
  <c r="K9" i="4"/>
  <c r="I9" i="4"/>
  <c r="G9" i="4"/>
  <c r="F9" i="4"/>
  <c r="L9" i="4" s="1"/>
  <c r="K15" i="4"/>
  <c r="I15" i="4"/>
  <c r="G15" i="4"/>
  <c r="F15" i="4"/>
  <c r="L15" i="4" s="1"/>
  <c r="K29" i="4"/>
  <c r="I29" i="4"/>
  <c r="G29" i="4"/>
  <c r="F29" i="4"/>
  <c r="L29" i="4" s="1"/>
  <c r="K34" i="4"/>
  <c r="I34" i="4"/>
  <c r="G34" i="4"/>
  <c r="F34" i="4"/>
  <c r="L34" i="4" s="1"/>
  <c r="K35" i="4"/>
  <c r="I35" i="4"/>
  <c r="G35" i="4"/>
  <c r="F35" i="4"/>
  <c r="L35" i="4" s="1"/>
  <c r="K60" i="4"/>
  <c r="I60" i="4"/>
  <c r="G60" i="4"/>
  <c r="F60" i="4"/>
  <c r="L60" i="4" s="1"/>
  <c r="K58" i="4"/>
  <c r="I58" i="4"/>
  <c r="G58" i="4"/>
  <c r="F58" i="4"/>
  <c r="K8" i="4"/>
  <c r="I8" i="4"/>
  <c r="G8" i="4"/>
  <c r="F8" i="4"/>
  <c r="J8" i="4" s="1"/>
  <c r="K39" i="4"/>
  <c r="I39" i="4"/>
  <c r="G39" i="4"/>
  <c r="F39" i="4"/>
  <c r="L39" i="4" s="1"/>
  <c r="K65" i="4"/>
  <c r="I65" i="4"/>
  <c r="G65" i="4"/>
  <c r="F65" i="4"/>
  <c r="H65" i="4" s="1"/>
  <c r="K47" i="4"/>
  <c r="I47" i="4"/>
  <c r="G47" i="4"/>
  <c r="F47" i="4"/>
  <c r="K21" i="4"/>
  <c r="I21" i="4"/>
  <c r="G21" i="4"/>
  <c r="F21" i="4"/>
  <c r="J21" i="4" s="1"/>
  <c r="K57" i="4"/>
  <c r="I57" i="4"/>
  <c r="G57" i="4"/>
  <c r="F57" i="4"/>
  <c r="L57" i="4" s="1"/>
  <c r="K68" i="4"/>
  <c r="I68" i="4"/>
  <c r="G68" i="4"/>
  <c r="F68" i="4"/>
  <c r="L68" i="4" s="1"/>
  <c r="K49" i="4"/>
  <c r="I49" i="4"/>
  <c r="G49" i="4"/>
  <c r="F49" i="4"/>
  <c r="K43" i="4"/>
  <c r="I43" i="4"/>
  <c r="G43" i="4"/>
  <c r="F43" i="4"/>
  <c r="J43" i="4" s="1"/>
  <c r="K5" i="4"/>
  <c r="I5" i="4"/>
  <c r="G5" i="4"/>
  <c r="F5" i="4"/>
  <c r="L5" i="4" s="1"/>
  <c r="K50" i="4"/>
  <c r="I50" i="4"/>
  <c r="G50" i="4"/>
  <c r="F50" i="4"/>
  <c r="L50" i="4" s="1"/>
  <c r="K64" i="4"/>
  <c r="I64" i="4"/>
  <c r="G64" i="4"/>
  <c r="F64" i="4"/>
  <c r="L64" i="4" s="1"/>
  <c r="K23" i="4"/>
  <c r="I23" i="4"/>
  <c r="G23" i="4"/>
  <c r="F23" i="4"/>
  <c r="L23" i="4" s="1"/>
  <c r="K7" i="4"/>
  <c r="I7" i="4"/>
  <c r="G7" i="4"/>
  <c r="F7" i="4"/>
  <c r="O21" i="3"/>
  <c r="M21" i="3"/>
  <c r="K21" i="3"/>
  <c r="F21" i="3"/>
  <c r="P21" i="3" s="1"/>
  <c r="O20" i="3"/>
  <c r="M20" i="3"/>
  <c r="K20" i="3"/>
  <c r="I20" i="3"/>
  <c r="G20" i="3"/>
  <c r="F20" i="3"/>
  <c r="O27" i="3"/>
  <c r="M27" i="3"/>
  <c r="K27" i="3"/>
  <c r="F27" i="3"/>
  <c r="P27" i="3" s="1"/>
  <c r="O26" i="3"/>
  <c r="M26" i="3"/>
  <c r="K26" i="3"/>
  <c r="I26" i="3"/>
  <c r="G26" i="3"/>
  <c r="F26" i="3"/>
  <c r="N26" i="3" s="1"/>
  <c r="O23" i="3"/>
  <c r="M23" i="3"/>
  <c r="K23" i="3"/>
  <c r="F23" i="3"/>
  <c r="N23" i="3" s="1"/>
  <c r="O22" i="3"/>
  <c r="M22" i="3"/>
  <c r="K22" i="3"/>
  <c r="I22" i="3"/>
  <c r="G22" i="3"/>
  <c r="F22" i="3"/>
  <c r="N22" i="3" s="1"/>
  <c r="O107" i="3"/>
  <c r="M107" i="3"/>
  <c r="K107" i="3"/>
  <c r="F107" i="3"/>
  <c r="P107" i="3" s="1"/>
  <c r="O106" i="3"/>
  <c r="M106" i="3"/>
  <c r="K106" i="3"/>
  <c r="I106" i="3"/>
  <c r="G106" i="3"/>
  <c r="F106" i="3"/>
  <c r="P106" i="3" s="1"/>
  <c r="O101" i="3"/>
  <c r="M101" i="3"/>
  <c r="K101" i="3"/>
  <c r="F101" i="3"/>
  <c r="P101" i="3" s="1"/>
  <c r="O100" i="3"/>
  <c r="M100" i="3"/>
  <c r="K100" i="3"/>
  <c r="I100" i="3"/>
  <c r="G100" i="3"/>
  <c r="F100" i="3"/>
  <c r="N100" i="3" s="1"/>
  <c r="O62" i="3"/>
  <c r="M62" i="3"/>
  <c r="K62" i="3"/>
  <c r="F62" i="3"/>
  <c r="P62" i="3" s="1"/>
  <c r="O61" i="3"/>
  <c r="M61" i="3"/>
  <c r="K61" i="3"/>
  <c r="I61" i="3"/>
  <c r="G61" i="3"/>
  <c r="F61" i="3"/>
  <c r="N61" i="3" s="1"/>
  <c r="O91" i="3"/>
  <c r="M91" i="3"/>
  <c r="K91" i="3"/>
  <c r="F91" i="3"/>
  <c r="L91" i="3" s="1"/>
  <c r="O90" i="3"/>
  <c r="M90" i="3"/>
  <c r="K90" i="3"/>
  <c r="I90" i="3"/>
  <c r="G90" i="3"/>
  <c r="F90" i="3"/>
  <c r="N90" i="3" s="1"/>
  <c r="O103" i="3"/>
  <c r="M103" i="3"/>
  <c r="K103" i="3"/>
  <c r="F103" i="3"/>
  <c r="P103" i="3" s="1"/>
  <c r="O102" i="3"/>
  <c r="M102" i="3"/>
  <c r="K102" i="3"/>
  <c r="I102" i="3"/>
  <c r="G102" i="3"/>
  <c r="F102" i="3"/>
  <c r="P102" i="3" s="1"/>
  <c r="O136" i="3"/>
  <c r="M136" i="3"/>
  <c r="K136" i="3"/>
  <c r="F136" i="3"/>
  <c r="P136" i="3" s="1"/>
  <c r="O135" i="3"/>
  <c r="M135" i="3"/>
  <c r="K135" i="3"/>
  <c r="I135" i="3"/>
  <c r="G135" i="3"/>
  <c r="F135" i="3"/>
  <c r="O19" i="3"/>
  <c r="M19" i="3"/>
  <c r="K19" i="3"/>
  <c r="F19" i="3"/>
  <c r="P19" i="3" s="1"/>
  <c r="O18" i="3"/>
  <c r="M18" i="3"/>
  <c r="K18" i="3"/>
  <c r="I18" i="3"/>
  <c r="G18" i="3"/>
  <c r="F18" i="3"/>
  <c r="N18" i="3" s="1"/>
  <c r="O83" i="3"/>
  <c r="M83" i="3"/>
  <c r="K83" i="3"/>
  <c r="F83" i="3"/>
  <c r="P83" i="3" s="1"/>
  <c r="O82" i="3"/>
  <c r="M82" i="3"/>
  <c r="K82" i="3"/>
  <c r="I82" i="3"/>
  <c r="G82" i="3"/>
  <c r="F82" i="3"/>
  <c r="P82" i="3" s="1"/>
  <c r="O29" i="3"/>
  <c r="M29" i="3"/>
  <c r="K29" i="3"/>
  <c r="F29" i="3"/>
  <c r="O28" i="3"/>
  <c r="M28" i="3"/>
  <c r="K28" i="3"/>
  <c r="I28" i="3"/>
  <c r="G28" i="3"/>
  <c r="F28" i="3"/>
  <c r="N28" i="3" s="1"/>
  <c r="O79" i="3"/>
  <c r="M79" i="3"/>
  <c r="K79" i="3"/>
  <c r="F79" i="3"/>
  <c r="P79" i="3" s="1"/>
  <c r="O78" i="3"/>
  <c r="M78" i="3"/>
  <c r="K78" i="3"/>
  <c r="I78" i="3"/>
  <c r="G78" i="3"/>
  <c r="F78" i="3"/>
  <c r="N78" i="3" s="1"/>
  <c r="O40" i="3"/>
  <c r="M40" i="3"/>
  <c r="K40" i="3"/>
  <c r="F40" i="3"/>
  <c r="P40" i="3" s="1"/>
  <c r="O39" i="3"/>
  <c r="M39" i="3"/>
  <c r="K39" i="3"/>
  <c r="I39" i="3"/>
  <c r="G39" i="3"/>
  <c r="F39" i="3"/>
  <c r="N39" i="3" s="1"/>
  <c r="O112" i="3"/>
  <c r="M112" i="3"/>
  <c r="K112" i="3"/>
  <c r="F112" i="3"/>
  <c r="L112" i="3" s="1"/>
  <c r="O111" i="3"/>
  <c r="M111" i="3"/>
  <c r="K111" i="3"/>
  <c r="I111" i="3"/>
  <c r="G111" i="3"/>
  <c r="F111" i="3"/>
  <c r="P111" i="3" s="1"/>
  <c r="O109" i="3"/>
  <c r="M109" i="3"/>
  <c r="K109" i="3"/>
  <c r="F109" i="3"/>
  <c r="O108" i="3"/>
  <c r="M108" i="3"/>
  <c r="K108" i="3"/>
  <c r="I108" i="3"/>
  <c r="G108" i="3"/>
  <c r="F108" i="3"/>
  <c r="N108" i="3" s="1"/>
  <c r="O140" i="3"/>
  <c r="M140" i="3"/>
  <c r="K140" i="3"/>
  <c r="F140" i="3"/>
  <c r="P140" i="3" s="1"/>
  <c r="O139" i="3"/>
  <c r="M139" i="3"/>
  <c r="K139" i="3"/>
  <c r="I139" i="3"/>
  <c r="G139" i="3"/>
  <c r="F139" i="3"/>
  <c r="N139" i="3" s="1"/>
  <c r="O50" i="3"/>
  <c r="M50" i="3"/>
  <c r="K50" i="3"/>
  <c r="F50" i="3"/>
  <c r="P50" i="3" s="1"/>
  <c r="O49" i="3"/>
  <c r="M49" i="3"/>
  <c r="K49" i="3"/>
  <c r="I49" i="3"/>
  <c r="G49" i="3"/>
  <c r="F49" i="3"/>
  <c r="N49" i="3" s="1"/>
  <c r="O120" i="3"/>
  <c r="M120" i="3"/>
  <c r="K120" i="3"/>
  <c r="F120" i="3"/>
  <c r="L120" i="3" s="1"/>
  <c r="O119" i="3"/>
  <c r="M119" i="3"/>
  <c r="K119" i="3"/>
  <c r="I119" i="3"/>
  <c r="G119" i="3"/>
  <c r="F119" i="3"/>
  <c r="P119" i="3" s="1"/>
  <c r="O69" i="3"/>
  <c r="M69" i="3"/>
  <c r="K69" i="3"/>
  <c r="F69" i="3"/>
  <c r="O68" i="3"/>
  <c r="M68" i="3"/>
  <c r="K68" i="3"/>
  <c r="I68" i="3"/>
  <c r="G68" i="3"/>
  <c r="F68" i="3"/>
  <c r="N68" i="3" s="1"/>
  <c r="O15" i="3"/>
  <c r="M15" i="3"/>
  <c r="K15" i="3"/>
  <c r="F15" i="3"/>
  <c r="P15" i="3" s="1"/>
  <c r="O14" i="3"/>
  <c r="M14" i="3"/>
  <c r="K14" i="3"/>
  <c r="I14" i="3"/>
  <c r="G14" i="3"/>
  <c r="F14" i="3"/>
  <c r="N14" i="3" s="1"/>
  <c r="O60" i="3"/>
  <c r="M60" i="3"/>
  <c r="K60" i="3"/>
  <c r="F60" i="3"/>
  <c r="P60" i="3" s="1"/>
  <c r="O59" i="3"/>
  <c r="M59" i="3"/>
  <c r="K59" i="3"/>
  <c r="I59" i="3"/>
  <c r="G59" i="3"/>
  <c r="F59" i="3"/>
  <c r="N59" i="3" s="1"/>
  <c r="O81" i="3"/>
  <c r="M81" i="3"/>
  <c r="K81" i="3"/>
  <c r="F81" i="3"/>
  <c r="P81" i="3" s="1"/>
  <c r="O80" i="3"/>
  <c r="M80" i="3"/>
  <c r="K80" i="3"/>
  <c r="I80" i="3"/>
  <c r="G80" i="3"/>
  <c r="F80" i="3"/>
  <c r="P80" i="3" s="1"/>
  <c r="O105" i="3"/>
  <c r="M105" i="3"/>
  <c r="K105" i="3"/>
  <c r="F105" i="3"/>
  <c r="O104" i="3"/>
  <c r="M104" i="3"/>
  <c r="K104" i="3"/>
  <c r="I104" i="3"/>
  <c r="G104" i="3"/>
  <c r="F104" i="3"/>
  <c r="N104" i="3" s="1"/>
  <c r="O95" i="3"/>
  <c r="M95" i="3"/>
  <c r="K95" i="3"/>
  <c r="F95" i="3"/>
  <c r="P95" i="3" s="1"/>
  <c r="O94" i="3"/>
  <c r="M94" i="3"/>
  <c r="K94" i="3"/>
  <c r="I94" i="3"/>
  <c r="G94" i="3"/>
  <c r="F94" i="3"/>
  <c r="N94" i="3" s="1"/>
  <c r="O36" i="3"/>
  <c r="M36" i="3"/>
  <c r="K36" i="3"/>
  <c r="F36" i="3"/>
  <c r="L36" i="3" s="1"/>
  <c r="O35" i="3"/>
  <c r="M35" i="3"/>
  <c r="K35" i="3"/>
  <c r="I35" i="3"/>
  <c r="G35" i="3"/>
  <c r="F35" i="3"/>
  <c r="P35" i="3" s="1"/>
  <c r="O8" i="3"/>
  <c r="M8" i="3"/>
  <c r="K8" i="3"/>
  <c r="F8" i="3"/>
  <c r="O7" i="3"/>
  <c r="M7" i="3"/>
  <c r="K7" i="3"/>
  <c r="I7" i="3"/>
  <c r="G7" i="3"/>
  <c r="F7" i="3"/>
  <c r="N7" i="3" s="1"/>
  <c r="O46" i="3"/>
  <c r="M46" i="3"/>
  <c r="K46" i="3"/>
  <c r="F46" i="3"/>
  <c r="P46" i="3" s="1"/>
  <c r="O45" i="3"/>
  <c r="M45" i="3"/>
  <c r="K45" i="3"/>
  <c r="I45" i="3"/>
  <c r="G45" i="3"/>
  <c r="F45" i="3"/>
  <c r="N45" i="3" s="1"/>
  <c r="O32" i="3"/>
  <c r="M32" i="3"/>
  <c r="K32" i="3"/>
  <c r="F32" i="3"/>
  <c r="L32" i="3" s="1"/>
  <c r="O31" i="3"/>
  <c r="M31" i="3"/>
  <c r="K31" i="3"/>
  <c r="I31" i="3"/>
  <c r="G31" i="3"/>
  <c r="F31" i="3"/>
  <c r="N31" i="3" s="1"/>
  <c r="O75" i="3"/>
  <c r="M75" i="3"/>
  <c r="K75" i="3"/>
  <c r="F75" i="3"/>
  <c r="O74" i="3"/>
  <c r="M74" i="3"/>
  <c r="K74" i="3"/>
  <c r="I74" i="3"/>
  <c r="G74" i="3"/>
  <c r="F74" i="3"/>
  <c r="P74" i="3" s="1"/>
  <c r="O17" i="3"/>
  <c r="M17" i="3"/>
  <c r="K17" i="3"/>
  <c r="F17" i="3"/>
  <c r="L17" i="3" s="1"/>
  <c r="O16" i="3"/>
  <c r="M16" i="3"/>
  <c r="K16" i="3"/>
  <c r="I16" i="3"/>
  <c r="G16" i="3"/>
  <c r="F16" i="3"/>
  <c r="N16" i="3" s="1"/>
  <c r="O89" i="3"/>
  <c r="M89" i="3"/>
  <c r="K89" i="3"/>
  <c r="F89" i="3"/>
  <c r="P89" i="3" s="1"/>
  <c r="O88" i="3"/>
  <c r="M88" i="3"/>
  <c r="K88" i="3"/>
  <c r="I88" i="3"/>
  <c r="G88" i="3"/>
  <c r="F88" i="3"/>
  <c r="N88" i="3" s="1"/>
  <c r="O56" i="3"/>
  <c r="M56" i="3"/>
  <c r="K56" i="3"/>
  <c r="F56" i="3"/>
  <c r="O55" i="3"/>
  <c r="M55" i="3"/>
  <c r="K55" i="3"/>
  <c r="I55" i="3"/>
  <c r="G55" i="3"/>
  <c r="F55" i="3"/>
  <c r="P55" i="3" s="1"/>
  <c r="O44" i="3"/>
  <c r="M44" i="3"/>
  <c r="K44" i="3"/>
  <c r="F44" i="3"/>
  <c r="L44" i="3" s="1"/>
  <c r="O43" i="3"/>
  <c r="M43" i="3"/>
  <c r="K43" i="3"/>
  <c r="I43" i="3"/>
  <c r="G43" i="3"/>
  <c r="F43" i="3"/>
  <c r="L43" i="3" s="1"/>
  <c r="O34" i="3"/>
  <c r="M34" i="3"/>
  <c r="K34" i="3"/>
  <c r="F34" i="3"/>
  <c r="P34" i="3" s="1"/>
  <c r="O33" i="3"/>
  <c r="M33" i="3"/>
  <c r="K33" i="3"/>
  <c r="I33" i="3"/>
  <c r="G33" i="3"/>
  <c r="F33" i="3"/>
  <c r="H33" i="3" s="1"/>
  <c r="O52" i="3"/>
  <c r="M52" i="3"/>
  <c r="K52" i="3"/>
  <c r="F52" i="3"/>
  <c r="P52" i="3" s="1"/>
  <c r="O51" i="3"/>
  <c r="M51" i="3"/>
  <c r="K51" i="3"/>
  <c r="I51" i="3"/>
  <c r="G51" i="3"/>
  <c r="F51" i="3"/>
  <c r="N51" i="3" s="1"/>
  <c r="O73" i="3"/>
  <c r="M73" i="3"/>
  <c r="K73" i="3"/>
  <c r="F73" i="3"/>
  <c r="P73" i="3" s="1"/>
  <c r="O72" i="3"/>
  <c r="M72" i="3"/>
  <c r="K72" i="3"/>
  <c r="I72" i="3"/>
  <c r="G72" i="3"/>
  <c r="F72" i="3"/>
  <c r="N72" i="3" s="1"/>
  <c r="O87" i="3"/>
  <c r="M87" i="3"/>
  <c r="K87" i="3"/>
  <c r="F87" i="3"/>
  <c r="P87" i="3" s="1"/>
  <c r="O86" i="3"/>
  <c r="M86" i="3"/>
  <c r="K86" i="3"/>
  <c r="I86" i="3"/>
  <c r="G86" i="3"/>
  <c r="F86" i="3"/>
  <c r="P86" i="3" s="1"/>
  <c r="O126" i="3"/>
  <c r="M126" i="3"/>
  <c r="K126" i="3"/>
  <c r="F126" i="3"/>
  <c r="L126" i="3" s="1"/>
  <c r="O125" i="3"/>
  <c r="M125" i="3"/>
  <c r="K125" i="3"/>
  <c r="I125" i="3"/>
  <c r="G125" i="3"/>
  <c r="F125" i="3"/>
  <c r="J125" i="3" s="1"/>
  <c r="O134" i="3"/>
  <c r="M134" i="3"/>
  <c r="K134" i="3"/>
  <c r="F134" i="3"/>
  <c r="O133" i="3"/>
  <c r="M133" i="3"/>
  <c r="K133" i="3"/>
  <c r="I133" i="3"/>
  <c r="G133" i="3"/>
  <c r="F133" i="3"/>
  <c r="O71" i="3"/>
  <c r="M71" i="3"/>
  <c r="K71" i="3"/>
  <c r="F71" i="3"/>
  <c r="P71" i="3" s="1"/>
  <c r="O70" i="3"/>
  <c r="M70" i="3"/>
  <c r="K70" i="3"/>
  <c r="I70" i="3"/>
  <c r="G70" i="3"/>
  <c r="F70" i="3"/>
  <c r="N70" i="3" s="1"/>
  <c r="O128" i="3"/>
  <c r="M128" i="3"/>
  <c r="K128" i="3"/>
  <c r="F128" i="3"/>
  <c r="P128" i="3" s="1"/>
  <c r="O127" i="3"/>
  <c r="M127" i="3"/>
  <c r="K127" i="3"/>
  <c r="I127" i="3"/>
  <c r="G127" i="3"/>
  <c r="F127" i="3"/>
  <c r="N127" i="3" s="1"/>
  <c r="O48" i="3"/>
  <c r="M48" i="3"/>
  <c r="K48" i="3"/>
  <c r="F48" i="3"/>
  <c r="P48" i="3" s="1"/>
  <c r="O47" i="3"/>
  <c r="M47" i="3"/>
  <c r="K47" i="3"/>
  <c r="I47" i="3"/>
  <c r="G47" i="3"/>
  <c r="F47" i="3"/>
  <c r="P47" i="3" s="1"/>
  <c r="O124" i="3"/>
  <c r="M124" i="3"/>
  <c r="K124" i="3"/>
  <c r="F124" i="3"/>
  <c r="L124" i="3" s="1"/>
  <c r="O123" i="3"/>
  <c r="M123" i="3"/>
  <c r="K123" i="3"/>
  <c r="I123" i="3"/>
  <c r="G123" i="3"/>
  <c r="F123" i="3"/>
  <c r="J123" i="3" s="1"/>
  <c r="O58" i="3"/>
  <c r="M58" i="3"/>
  <c r="K58" i="3"/>
  <c r="F58" i="3"/>
  <c r="O57" i="3"/>
  <c r="M57" i="3"/>
  <c r="K57" i="3"/>
  <c r="I57" i="3"/>
  <c r="G57" i="3"/>
  <c r="F57" i="3"/>
  <c r="N57" i="3" s="1"/>
  <c r="O118" i="3"/>
  <c r="M118" i="3"/>
  <c r="K118" i="3"/>
  <c r="F118" i="3"/>
  <c r="P118" i="3" s="1"/>
  <c r="O117" i="3"/>
  <c r="M117" i="3"/>
  <c r="K117" i="3"/>
  <c r="I117" i="3"/>
  <c r="G117" i="3"/>
  <c r="F117" i="3"/>
  <c r="N117" i="3" s="1"/>
  <c r="O13" i="3"/>
  <c r="M13" i="3"/>
  <c r="K13" i="3"/>
  <c r="F13" i="3"/>
  <c r="P13" i="3" s="1"/>
  <c r="O12" i="3"/>
  <c r="M12" i="3"/>
  <c r="K12" i="3"/>
  <c r="I12" i="3"/>
  <c r="G12" i="3"/>
  <c r="F12" i="3"/>
  <c r="N12" i="3" s="1"/>
  <c r="O25" i="3"/>
  <c r="M25" i="3"/>
  <c r="K25" i="3"/>
  <c r="F25" i="3"/>
  <c r="L25" i="3" s="1"/>
  <c r="O24" i="3"/>
  <c r="M24" i="3"/>
  <c r="K24" i="3"/>
  <c r="I24" i="3"/>
  <c r="G24" i="3"/>
  <c r="F24" i="3"/>
  <c r="J24" i="3" s="1"/>
  <c r="O54" i="3"/>
  <c r="M54" i="3"/>
  <c r="K54" i="3"/>
  <c r="F54" i="3"/>
  <c r="O53" i="3"/>
  <c r="M53" i="3"/>
  <c r="K53" i="3"/>
  <c r="I53" i="3"/>
  <c r="G53" i="3"/>
  <c r="F53" i="3"/>
  <c r="O65" i="3"/>
  <c r="M65" i="3"/>
  <c r="K65" i="3"/>
  <c r="F65" i="3"/>
  <c r="P65" i="3" s="1"/>
  <c r="O64" i="3"/>
  <c r="M64" i="3"/>
  <c r="K64" i="3"/>
  <c r="I64" i="3"/>
  <c r="G64" i="3"/>
  <c r="F64" i="3"/>
  <c r="N64" i="3" s="1"/>
  <c r="O67" i="3"/>
  <c r="M67" i="3"/>
  <c r="K67" i="3"/>
  <c r="F67" i="3"/>
  <c r="P67" i="3" s="1"/>
  <c r="O66" i="3"/>
  <c r="M66" i="3"/>
  <c r="K66" i="3"/>
  <c r="I66" i="3"/>
  <c r="G66" i="3"/>
  <c r="F66" i="3"/>
  <c r="J66" i="3" s="1"/>
  <c r="O122" i="3"/>
  <c r="M122" i="3"/>
  <c r="K122" i="3"/>
  <c r="F122" i="3"/>
  <c r="O121" i="3"/>
  <c r="M121" i="3"/>
  <c r="K121" i="3"/>
  <c r="I121" i="3"/>
  <c r="G121" i="3"/>
  <c r="F121" i="3"/>
  <c r="O116" i="3"/>
  <c r="M116" i="3"/>
  <c r="K116" i="3"/>
  <c r="F116" i="3"/>
  <c r="P116" i="3" s="1"/>
  <c r="O115" i="3"/>
  <c r="M115" i="3"/>
  <c r="K115" i="3"/>
  <c r="I115" i="3"/>
  <c r="G115" i="3"/>
  <c r="F115" i="3"/>
  <c r="N115" i="3" s="1"/>
  <c r="O11" i="3"/>
  <c r="M11" i="3"/>
  <c r="K11" i="3"/>
  <c r="F11" i="3"/>
  <c r="P11" i="3" s="1"/>
  <c r="O10" i="3"/>
  <c r="M10" i="3"/>
  <c r="K10" i="3"/>
  <c r="I10" i="3"/>
  <c r="G10" i="3"/>
  <c r="F10" i="3"/>
  <c r="N10" i="3" s="1"/>
  <c r="O77" i="3"/>
  <c r="M77" i="3"/>
  <c r="K77" i="3"/>
  <c r="F77" i="3"/>
  <c r="P77" i="3" s="1"/>
  <c r="O76" i="3"/>
  <c r="M76" i="3"/>
  <c r="K76" i="3"/>
  <c r="I76" i="3"/>
  <c r="G76" i="3"/>
  <c r="F76" i="3"/>
  <c r="N76" i="3" s="1"/>
  <c r="O132" i="3"/>
  <c r="M132" i="3"/>
  <c r="K132" i="3"/>
  <c r="F132" i="3"/>
  <c r="O131" i="3"/>
  <c r="M131" i="3"/>
  <c r="K131" i="3"/>
  <c r="I131" i="3"/>
  <c r="G131" i="3"/>
  <c r="F131" i="3"/>
  <c r="N131" i="3" s="1"/>
  <c r="O93" i="3"/>
  <c r="M93" i="3"/>
  <c r="K93" i="3"/>
  <c r="F93" i="3"/>
  <c r="P93" i="3" s="1"/>
  <c r="O92" i="3"/>
  <c r="M92" i="3"/>
  <c r="K92" i="3"/>
  <c r="I92" i="3"/>
  <c r="G92" i="3"/>
  <c r="F92" i="3"/>
  <c r="N92" i="3" s="1"/>
  <c r="O38" i="3"/>
  <c r="M38" i="3"/>
  <c r="K38" i="3"/>
  <c r="F38" i="3"/>
  <c r="P38" i="3" s="1"/>
  <c r="O37" i="3"/>
  <c r="M37" i="3"/>
  <c r="K37" i="3"/>
  <c r="I37" i="3"/>
  <c r="G37" i="3"/>
  <c r="F37" i="3"/>
  <c r="N37" i="3" s="1"/>
  <c r="O114" i="3"/>
  <c r="M114" i="3"/>
  <c r="K114" i="3"/>
  <c r="F114" i="3"/>
  <c r="L114" i="3" s="1"/>
  <c r="O113" i="3"/>
  <c r="M113" i="3"/>
  <c r="K113" i="3"/>
  <c r="I113" i="3"/>
  <c r="G113" i="3"/>
  <c r="F113" i="3"/>
  <c r="J113" i="3" s="1"/>
  <c r="O138" i="3"/>
  <c r="M138" i="3"/>
  <c r="K138" i="3"/>
  <c r="F138" i="3"/>
  <c r="O137" i="3"/>
  <c r="M137" i="3"/>
  <c r="K137" i="3"/>
  <c r="I137" i="3"/>
  <c r="G137" i="3"/>
  <c r="F137" i="3"/>
  <c r="N137" i="3" s="1"/>
  <c r="O97" i="3"/>
  <c r="M97" i="3"/>
  <c r="K97" i="3"/>
  <c r="F97" i="3"/>
  <c r="P97" i="3" s="1"/>
  <c r="O96" i="3"/>
  <c r="M96" i="3"/>
  <c r="K96" i="3"/>
  <c r="I96" i="3"/>
  <c r="G96" i="3"/>
  <c r="F96" i="3"/>
  <c r="N96" i="3" s="1"/>
  <c r="O85" i="3"/>
  <c r="M85" i="3"/>
  <c r="K85" i="3"/>
  <c r="F85" i="3"/>
  <c r="N85" i="3" s="1"/>
  <c r="O84" i="3"/>
  <c r="M84" i="3"/>
  <c r="K84" i="3"/>
  <c r="I84" i="3"/>
  <c r="G84" i="3"/>
  <c r="F84" i="3"/>
  <c r="J84" i="3" s="1"/>
  <c r="O6" i="3"/>
  <c r="M6" i="3"/>
  <c r="K6" i="3"/>
  <c r="F6" i="3"/>
  <c r="O5" i="3"/>
  <c r="M5" i="3"/>
  <c r="K5" i="3"/>
  <c r="I5" i="3"/>
  <c r="G5" i="3"/>
  <c r="F5" i="3"/>
  <c r="N5" i="3" s="1"/>
  <c r="O99" i="3"/>
  <c r="M99" i="3"/>
  <c r="K99" i="3"/>
  <c r="F99" i="3"/>
  <c r="P99" i="3" s="1"/>
  <c r="O98" i="3"/>
  <c r="M98" i="3"/>
  <c r="K98" i="3"/>
  <c r="I98" i="3"/>
  <c r="G98" i="3"/>
  <c r="F98" i="3"/>
  <c r="N98" i="3" s="1"/>
  <c r="O130" i="3"/>
  <c r="M130" i="3"/>
  <c r="K130" i="3"/>
  <c r="F130" i="3"/>
  <c r="P130" i="3" s="1"/>
  <c r="O129" i="3"/>
  <c r="M129" i="3"/>
  <c r="K129" i="3"/>
  <c r="I129" i="3"/>
  <c r="G129" i="3"/>
  <c r="F129" i="3"/>
  <c r="N129" i="3" s="1"/>
  <c r="O42" i="3"/>
  <c r="M42" i="3"/>
  <c r="K42" i="3"/>
  <c r="F42" i="3"/>
  <c r="P42" i="3" s="1"/>
  <c r="O41" i="3"/>
  <c r="M41" i="3"/>
  <c r="K41" i="3"/>
  <c r="I41" i="3"/>
  <c r="G41" i="3"/>
  <c r="F41" i="3"/>
  <c r="J41" i="3" s="1"/>
  <c r="O110" i="3"/>
  <c r="M110" i="3"/>
  <c r="K110" i="3"/>
  <c r="I110" i="3"/>
  <c r="F110" i="3"/>
  <c r="L110" i="3" s="1"/>
  <c r="O30" i="3"/>
  <c r="M30" i="3"/>
  <c r="K30" i="3"/>
  <c r="F30" i="3"/>
  <c r="N30" i="3" s="1"/>
  <c r="O9" i="3"/>
  <c r="M9" i="3"/>
  <c r="K9" i="3"/>
  <c r="I9" i="3"/>
  <c r="G9" i="3"/>
  <c r="F9" i="3"/>
  <c r="L9" i="3" s="1"/>
  <c r="O63" i="3"/>
  <c r="M63" i="3"/>
  <c r="K63" i="3"/>
  <c r="F63" i="3"/>
  <c r="N63" i="3" s="1"/>
  <c r="O21" i="2"/>
  <c r="M21" i="2"/>
  <c r="K21" i="2"/>
  <c r="F21" i="2"/>
  <c r="O20" i="2"/>
  <c r="M20" i="2"/>
  <c r="K20" i="2"/>
  <c r="I20" i="2"/>
  <c r="G20" i="2"/>
  <c r="F20" i="2"/>
  <c r="N20" i="2" s="1"/>
  <c r="O27" i="2"/>
  <c r="M27" i="2"/>
  <c r="K27" i="2"/>
  <c r="F27" i="2"/>
  <c r="P27" i="2" s="1"/>
  <c r="O26" i="2"/>
  <c r="M26" i="2"/>
  <c r="K26" i="2"/>
  <c r="I26" i="2"/>
  <c r="G26" i="2"/>
  <c r="F26" i="2"/>
  <c r="N26" i="2" s="1"/>
  <c r="O23" i="2"/>
  <c r="M23" i="2"/>
  <c r="K23" i="2"/>
  <c r="F23" i="2"/>
  <c r="P23" i="2" s="1"/>
  <c r="O22" i="2"/>
  <c r="M22" i="2"/>
  <c r="K22" i="2"/>
  <c r="I22" i="2"/>
  <c r="G22" i="2"/>
  <c r="F22" i="2"/>
  <c r="N22" i="2" s="1"/>
  <c r="O107" i="2"/>
  <c r="M107" i="2"/>
  <c r="K107" i="2"/>
  <c r="F107" i="2"/>
  <c r="L107" i="2" s="1"/>
  <c r="O106" i="2"/>
  <c r="M106" i="2"/>
  <c r="K106" i="2"/>
  <c r="I106" i="2"/>
  <c r="G106" i="2"/>
  <c r="F106" i="2"/>
  <c r="J106" i="2" s="1"/>
  <c r="O101" i="2"/>
  <c r="M101" i="2"/>
  <c r="K101" i="2"/>
  <c r="F101" i="2"/>
  <c r="O100" i="2"/>
  <c r="M100" i="2"/>
  <c r="K100" i="2"/>
  <c r="I100" i="2"/>
  <c r="G100" i="2"/>
  <c r="F100" i="2"/>
  <c r="N100" i="2" s="1"/>
  <c r="O62" i="2"/>
  <c r="M62" i="2"/>
  <c r="K62" i="2"/>
  <c r="F62" i="2"/>
  <c r="P62" i="2" s="1"/>
  <c r="O61" i="2"/>
  <c r="M61" i="2"/>
  <c r="K61" i="2"/>
  <c r="I61" i="2"/>
  <c r="G61" i="2"/>
  <c r="F61" i="2"/>
  <c r="N61" i="2" s="1"/>
  <c r="O91" i="2"/>
  <c r="M91" i="2"/>
  <c r="K91" i="2"/>
  <c r="F91" i="2"/>
  <c r="P91" i="2" s="1"/>
  <c r="O90" i="2"/>
  <c r="M90" i="2"/>
  <c r="K90" i="2"/>
  <c r="I90" i="2"/>
  <c r="G90" i="2"/>
  <c r="F90" i="2"/>
  <c r="N90" i="2" s="1"/>
  <c r="O103" i="2"/>
  <c r="M103" i="2"/>
  <c r="K103" i="2"/>
  <c r="F103" i="2"/>
  <c r="P103" i="2" s="1"/>
  <c r="O102" i="2"/>
  <c r="M102" i="2"/>
  <c r="K102" i="2"/>
  <c r="I102" i="2"/>
  <c r="G102" i="2"/>
  <c r="F102" i="2"/>
  <c r="J102" i="2" s="1"/>
  <c r="O136" i="2"/>
  <c r="M136" i="2"/>
  <c r="K136" i="2"/>
  <c r="F136" i="2"/>
  <c r="O135" i="2"/>
  <c r="M135" i="2"/>
  <c r="K135" i="2"/>
  <c r="I135" i="2"/>
  <c r="G135" i="2"/>
  <c r="F135" i="2"/>
  <c r="O19" i="2"/>
  <c r="M19" i="2"/>
  <c r="K19" i="2"/>
  <c r="F19" i="2"/>
  <c r="P19" i="2" s="1"/>
  <c r="O18" i="2"/>
  <c r="M18" i="2"/>
  <c r="K18" i="2"/>
  <c r="I18" i="2"/>
  <c r="G18" i="2"/>
  <c r="F18" i="2"/>
  <c r="N18" i="2" s="1"/>
  <c r="O83" i="2"/>
  <c r="M83" i="2"/>
  <c r="K83" i="2"/>
  <c r="F83" i="2"/>
  <c r="N83" i="2" s="1"/>
  <c r="O82" i="2"/>
  <c r="M82" i="2"/>
  <c r="K82" i="2"/>
  <c r="I82" i="2"/>
  <c r="G82" i="2"/>
  <c r="F82" i="2"/>
  <c r="P82" i="2" s="1"/>
  <c r="O29" i="2"/>
  <c r="M29" i="2"/>
  <c r="K29" i="2"/>
  <c r="F29" i="2"/>
  <c r="O28" i="2"/>
  <c r="M28" i="2"/>
  <c r="K28" i="2"/>
  <c r="I28" i="2"/>
  <c r="G28" i="2"/>
  <c r="F28" i="2"/>
  <c r="O79" i="2"/>
  <c r="M79" i="2"/>
  <c r="K79" i="2"/>
  <c r="F79" i="2"/>
  <c r="O78" i="2"/>
  <c r="M78" i="2"/>
  <c r="K78" i="2"/>
  <c r="I78" i="2"/>
  <c r="G78" i="2"/>
  <c r="F78" i="2"/>
  <c r="N78" i="2" s="1"/>
  <c r="O40" i="2"/>
  <c r="M40" i="2"/>
  <c r="K40" i="2"/>
  <c r="F40" i="2"/>
  <c r="P40" i="2" s="1"/>
  <c r="O39" i="2"/>
  <c r="M39" i="2"/>
  <c r="K39" i="2"/>
  <c r="I39" i="2"/>
  <c r="G39" i="2"/>
  <c r="F39" i="2"/>
  <c r="N39" i="2" s="1"/>
  <c r="O112" i="2"/>
  <c r="M112" i="2"/>
  <c r="K112" i="2"/>
  <c r="F112" i="2"/>
  <c r="L112" i="2" s="1"/>
  <c r="O111" i="2"/>
  <c r="M111" i="2"/>
  <c r="K111" i="2"/>
  <c r="I111" i="2"/>
  <c r="G111" i="2"/>
  <c r="F111" i="2"/>
  <c r="P111" i="2" s="1"/>
  <c r="O109" i="2"/>
  <c r="M109" i="2"/>
  <c r="K109" i="2"/>
  <c r="F109" i="2"/>
  <c r="O108" i="2"/>
  <c r="M108" i="2"/>
  <c r="K108" i="2"/>
  <c r="I108" i="2"/>
  <c r="G108" i="2"/>
  <c r="F108" i="2"/>
  <c r="O140" i="2"/>
  <c r="M140" i="2"/>
  <c r="K140" i="2"/>
  <c r="F140" i="2"/>
  <c r="O139" i="2"/>
  <c r="M139" i="2"/>
  <c r="K139" i="2"/>
  <c r="I139" i="2"/>
  <c r="G139" i="2"/>
  <c r="F139" i="2"/>
  <c r="N139" i="2" s="1"/>
  <c r="O50" i="2"/>
  <c r="M50" i="2"/>
  <c r="K50" i="2"/>
  <c r="F50" i="2"/>
  <c r="P50" i="2" s="1"/>
  <c r="O49" i="2"/>
  <c r="M49" i="2"/>
  <c r="K49" i="2"/>
  <c r="I49" i="2"/>
  <c r="G49" i="2"/>
  <c r="F49" i="2"/>
  <c r="N49" i="2" s="1"/>
  <c r="O120" i="2"/>
  <c r="M120" i="2"/>
  <c r="K120" i="2"/>
  <c r="F120" i="2"/>
  <c r="P120" i="2" s="1"/>
  <c r="O119" i="2"/>
  <c r="M119" i="2"/>
  <c r="K119" i="2"/>
  <c r="I119" i="2"/>
  <c r="G119" i="2"/>
  <c r="F119" i="2"/>
  <c r="J119" i="2" s="1"/>
  <c r="O69" i="2"/>
  <c r="M69" i="2"/>
  <c r="K69" i="2"/>
  <c r="F69" i="2"/>
  <c r="P69" i="2" s="1"/>
  <c r="O68" i="2"/>
  <c r="M68" i="2"/>
  <c r="K68" i="2"/>
  <c r="I68" i="2"/>
  <c r="G68" i="2"/>
  <c r="F68" i="2"/>
  <c r="J68" i="2" s="1"/>
  <c r="O15" i="2"/>
  <c r="M15" i="2"/>
  <c r="K15" i="2"/>
  <c r="F15" i="2"/>
  <c r="L15" i="2" s="1"/>
  <c r="O14" i="2"/>
  <c r="M14" i="2"/>
  <c r="K14" i="2"/>
  <c r="I14" i="2"/>
  <c r="G14" i="2"/>
  <c r="F14" i="2"/>
  <c r="L14" i="2" s="1"/>
  <c r="O60" i="2"/>
  <c r="M60" i="2"/>
  <c r="K60" i="2"/>
  <c r="F60" i="2"/>
  <c r="L60" i="2" s="1"/>
  <c r="O59" i="2"/>
  <c r="M59" i="2"/>
  <c r="K59" i="2"/>
  <c r="I59" i="2"/>
  <c r="G59" i="2"/>
  <c r="F59" i="2"/>
  <c r="N59" i="2" s="1"/>
  <c r="O81" i="2"/>
  <c r="M81" i="2"/>
  <c r="K81" i="2"/>
  <c r="F81" i="2"/>
  <c r="N81" i="2" s="1"/>
  <c r="O80" i="2"/>
  <c r="M80" i="2"/>
  <c r="K80" i="2"/>
  <c r="I80" i="2"/>
  <c r="G80" i="2"/>
  <c r="F80" i="2"/>
  <c r="L80" i="2" s="1"/>
  <c r="O105" i="2"/>
  <c r="M105" i="2"/>
  <c r="K105" i="2"/>
  <c r="F105" i="2"/>
  <c r="P105" i="2" s="1"/>
  <c r="O104" i="2"/>
  <c r="M104" i="2"/>
  <c r="K104" i="2"/>
  <c r="I104" i="2"/>
  <c r="G104" i="2"/>
  <c r="F104" i="2"/>
  <c r="N104" i="2" s="1"/>
  <c r="O95" i="2"/>
  <c r="M95" i="2"/>
  <c r="K95" i="2"/>
  <c r="F95" i="2"/>
  <c r="L95" i="2" s="1"/>
  <c r="O94" i="2"/>
  <c r="M94" i="2"/>
  <c r="K94" i="2"/>
  <c r="I94" i="2"/>
  <c r="G94" i="2"/>
  <c r="F94" i="2"/>
  <c r="J94" i="2" s="1"/>
  <c r="O36" i="2"/>
  <c r="M36" i="2"/>
  <c r="K36" i="2"/>
  <c r="F36" i="2"/>
  <c r="N36" i="2" s="1"/>
  <c r="O35" i="2"/>
  <c r="M35" i="2"/>
  <c r="K35" i="2"/>
  <c r="I35" i="2"/>
  <c r="G35" i="2"/>
  <c r="F35" i="2"/>
  <c r="L35" i="2" s="1"/>
  <c r="O8" i="2"/>
  <c r="M8" i="2"/>
  <c r="K8" i="2"/>
  <c r="F8" i="2"/>
  <c r="N8" i="2" s="1"/>
  <c r="O7" i="2"/>
  <c r="M7" i="2"/>
  <c r="K7" i="2"/>
  <c r="I7" i="2"/>
  <c r="G7" i="2"/>
  <c r="F7" i="2"/>
  <c r="N7" i="2" s="1"/>
  <c r="O46" i="2"/>
  <c r="M46" i="2"/>
  <c r="K46" i="2"/>
  <c r="F46" i="2"/>
  <c r="L46" i="2" s="1"/>
  <c r="O45" i="2"/>
  <c r="M45" i="2"/>
  <c r="K45" i="2"/>
  <c r="I45" i="2"/>
  <c r="G45" i="2"/>
  <c r="F45" i="2"/>
  <c r="J45" i="2" s="1"/>
  <c r="O32" i="2"/>
  <c r="M32" i="2"/>
  <c r="K32" i="2"/>
  <c r="F32" i="2"/>
  <c r="N32" i="2" s="1"/>
  <c r="O31" i="2"/>
  <c r="M31" i="2"/>
  <c r="K31" i="2"/>
  <c r="I31" i="2"/>
  <c r="G31" i="2"/>
  <c r="F31" i="2"/>
  <c r="L31" i="2" s="1"/>
  <c r="O75" i="2"/>
  <c r="M75" i="2"/>
  <c r="K75" i="2"/>
  <c r="F75" i="2"/>
  <c r="P75" i="2" s="1"/>
  <c r="O74" i="2"/>
  <c r="M74" i="2"/>
  <c r="K74" i="2"/>
  <c r="I74" i="2"/>
  <c r="G74" i="2"/>
  <c r="F74" i="2"/>
  <c r="N74" i="2" s="1"/>
  <c r="O17" i="2"/>
  <c r="M17" i="2"/>
  <c r="K17" i="2"/>
  <c r="F17" i="2"/>
  <c r="P17" i="2" s="1"/>
  <c r="O16" i="2"/>
  <c r="M16" i="2"/>
  <c r="K16" i="2"/>
  <c r="I16" i="2"/>
  <c r="G16" i="2"/>
  <c r="F16" i="2"/>
  <c r="N16" i="2" s="1"/>
  <c r="O89" i="2"/>
  <c r="M89" i="2"/>
  <c r="K89" i="2"/>
  <c r="F89" i="2"/>
  <c r="L89" i="2" s="1"/>
  <c r="O88" i="2"/>
  <c r="M88" i="2"/>
  <c r="K88" i="2"/>
  <c r="I88" i="2"/>
  <c r="G88" i="2"/>
  <c r="F88" i="2"/>
  <c r="J88" i="2" s="1"/>
  <c r="O56" i="2"/>
  <c r="M56" i="2"/>
  <c r="K56" i="2"/>
  <c r="F56" i="2"/>
  <c r="P56" i="2" s="1"/>
  <c r="O55" i="2"/>
  <c r="M55" i="2"/>
  <c r="K55" i="2"/>
  <c r="I55" i="2"/>
  <c r="G55" i="2"/>
  <c r="F55" i="2"/>
  <c r="N55" i="2" s="1"/>
  <c r="O44" i="2"/>
  <c r="M44" i="2"/>
  <c r="K44" i="2"/>
  <c r="F44" i="2"/>
  <c r="P44" i="2" s="1"/>
  <c r="O43" i="2"/>
  <c r="M43" i="2"/>
  <c r="K43" i="2"/>
  <c r="I43" i="2"/>
  <c r="G43" i="2"/>
  <c r="F43" i="2"/>
  <c r="N43" i="2" s="1"/>
  <c r="O34" i="2"/>
  <c r="M34" i="2"/>
  <c r="K34" i="2"/>
  <c r="F34" i="2"/>
  <c r="L34" i="2" s="1"/>
  <c r="O33" i="2"/>
  <c r="M33" i="2"/>
  <c r="K33" i="2"/>
  <c r="I33" i="2"/>
  <c r="G33" i="2"/>
  <c r="F33" i="2"/>
  <c r="J33" i="2" s="1"/>
  <c r="O52" i="2"/>
  <c r="M52" i="2"/>
  <c r="K52" i="2"/>
  <c r="F52" i="2"/>
  <c r="N52" i="2" s="1"/>
  <c r="O51" i="2"/>
  <c r="M51" i="2"/>
  <c r="K51" i="2"/>
  <c r="I51" i="2"/>
  <c r="G51" i="2"/>
  <c r="F51" i="2"/>
  <c r="L51" i="2" s="1"/>
  <c r="O73" i="2"/>
  <c r="M73" i="2"/>
  <c r="K73" i="2"/>
  <c r="F73" i="2"/>
  <c r="P73" i="2" s="1"/>
  <c r="O72" i="2"/>
  <c r="M72" i="2"/>
  <c r="K72" i="2"/>
  <c r="I72" i="2"/>
  <c r="G72" i="2"/>
  <c r="F72" i="2"/>
  <c r="N72" i="2" s="1"/>
  <c r="O87" i="2"/>
  <c r="M87" i="2"/>
  <c r="K87" i="2"/>
  <c r="F87" i="2"/>
  <c r="N87" i="2" s="1"/>
  <c r="O86" i="2"/>
  <c r="M86" i="2"/>
  <c r="K86" i="2"/>
  <c r="I86" i="2"/>
  <c r="G86" i="2"/>
  <c r="F86" i="2"/>
  <c r="N86" i="2" s="1"/>
  <c r="O126" i="2"/>
  <c r="M126" i="2"/>
  <c r="K126" i="2"/>
  <c r="F126" i="2"/>
  <c r="L126" i="2" s="1"/>
  <c r="O125" i="2"/>
  <c r="M125" i="2"/>
  <c r="K125" i="2"/>
  <c r="I125" i="2"/>
  <c r="G125" i="2"/>
  <c r="F125" i="2"/>
  <c r="J125" i="2" s="1"/>
  <c r="O134" i="2"/>
  <c r="M134" i="2"/>
  <c r="K134" i="2"/>
  <c r="F134" i="2"/>
  <c r="N134" i="2" s="1"/>
  <c r="O133" i="2"/>
  <c r="M133" i="2"/>
  <c r="K133" i="2"/>
  <c r="I133" i="2"/>
  <c r="G133" i="2"/>
  <c r="F133" i="2"/>
  <c r="L133" i="2" s="1"/>
  <c r="O71" i="2"/>
  <c r="M71" i="2"/>
  <c r="K71" i="2"/>
  <c r="F71" i="2"/>
  <c r="P71" i="2" s="1"/>
  <c r="O70" i="2"/>
  <c r="M70" i="2"/>
  <c r="K70" i="2"/>
  <c r="I70" i="2"/>
  <c r="G70" i="2"/>
  <c r="F70" i="2"/>
  <c r="N70" i="2" s="1"/>
  <c r="O128" i="2"/>
  <c r="M128" i="2"/>
  <c r="K128" i="2"/>
  <c r="F128" i="2"/>
  <c r="P128" i="2" s="1"/>
  <c r="O127" i="2"/>
  <c r="M127" i="2"/>
  <c r="K127" i="2"/>
  <c r="I127" i="2"/>
  <c r="G127" i="2"/>
  <c r="F127" i="2"/>
  <c r="N127" i="2" s="1"/>
  <c r="O48" i="2"/>
  <c r="M48" i="2"/>
  <c r="K48" i="2"/>
  <c r="F48" i="2"/>
  <c r="N48" i="2" s="1"/>
  <c r="O47" i="2"/>
  <c r="M47" i="2"/>
  <c r="K47" i="2"/>
  <c r="I47" i="2"/>
  <c r="G47" i="2"/>
  <c r="F47" i="2"/>
  <c r="N47" i="2" s="1"/>
  <c r="O124" i="2"/>
  <c r="M124" i="2"/>
  <c r="K124" i="2"/>
  <c r="F124" i="2"/>
  <c r="L124" i="2" s="1"/>
  <c r="O123" i="2"/>
  <c r="M123" i="2"/>
  <c r="K123" i="2"/>
  <c r="I123" i="2"/>
  <c r="G123" i="2"/>
  <c r="F123" i="2"/>
  <c r="J123" i="2" s="1"/>
  <c r="O58" i="2"/>
  <c r="M58" i="2"/>
  <c r="K58" i="2"/>
  <c r="F58" i="2"/>
  <c r="N58" i="2" s="1"/>
  <c r="O57" i="2"/>
  <c r="M57" i="2"/>
  <c r="K57" i="2"/>
  <c r="I57" i="2"/>
  <c r="G57" i="2"/>
  <c r="F57" i="2"/>
  <c r="L57" i="2" s="1"/>
  <c r="O118" i="2"/>
  <c r="M118" i="2"/>
  <c r="K118" i="2"/>
  <c r="F118" i="2"/>
  <c r="P118" i="2" s="1"/>
  <c r="O117" i="2"/>
  <c r="M117" i="2"/>
  <c r="K117" i="2"/>
  <c r="I117" i="2"/>
  <c r="G117" i="2"/>
  <c r="F117" i="2"/>
  <c r="N117" i="2" s="1"/>
  <c r="O13" i="2"/>
  <c r="M13" i="2"/>
  <c r="K13" i="2"/>
  <c r="F13" i="2"/>
  <c r="L13" i="2" s="1"/>
  <c r="O12" i="2"/>
  <c r="M12" i="2"/>
  <c r="K12" i="2"/>
  <c r="I12" i="2"/>
  <c r="G12" i="2"/>
  <c r="F12" i="2"/>
  <c r="N12" i="2" s="1"/>
  <c r="O25" i="2"/>
  <c r="M25" i="2"/>
  <c r="K25" i="2"/>
  <c r="F25" i="2"/>
  <c r="L25" i="2" s="1"/>
  <c r="O24" i="2"/>
  <c r="M24" i="2"/>
  <c r="K24" i="2"/>
  <c r="I24" i="2"/>
  <c r="G24" i="2"/>
  <c r="F24" i="2"/>
  <c r="J24" i="2" s="1"/>
  <c r="O54" i="2"/>
  <c r="M54" i="2"/>
  <c r="K54" i="2"/>
  <c r="F54" i="2"/>
  <c r="N54" i="2" s="1"/>
  <c r="O53" i="2"/>
  <c r="M53" i="2"/>
  <c r="K53" i="2"/>
  <c r="I53" i="2"/>
  <c r="G53" i="2"/>
  <c r="F53" i="2"/>
  <c r="N53" i="2" s="1"/>
  <c r="O65" i="2"/>
  <c r="M65" i="2"/>
  <c r="K65" i="2"/>
  <c r="F65" i="2"/>
  <c r="P65" i="2" s="1"/>
  <c r="O64" i="2"/>
  <c r="M64" i="2"/>
  <c r="K64" i="2"/>
  <c r="I64" i="2"/>
  <c r="G64" i="2"/>
  <c r="F64" i="2"/>
  <c r="N64" i="2" s="1"/>
  <c r="O67" i="2"/>
  <c r="M67" i="2"/>
  <c r="K67" i="2"/>
  <c r="F67" i="2"/>
  <c r="L67" i="2" s="1"/>
  <c r="O66" i="2"/>
  <c r="M66" i="2"/>
  <c r="K66" i="2"/>
  <c r="I66" i="2"/>
  <c r="G66" i="2"/>
  <c r="F66" i="2"/>
  <c r="P66" i="2" s="1"/>
  <c r="O122" i="2"/>
  <c r="M122" i="2"/>
  <c r="K122" i="2"/>
  <c r="F122" i="2"/>
  <c r="N122" i="2" s="1"/>
  <c r="O121" i="2"/>
  <c r="M121" i="2"/>
  <c r="K121" i="2"/>
  <c r="I121" i="2"/>
  <c r="G121" i="2"/>
  <c r="F121" i="2"/>
  <c r="N121" i="2" s="1"/>
  <c r="O116" i="2"/>
  <c r="M116" i="2"/>
  <c r="K116" i="2"/>
  <c r="F116" i="2"/>
  <c r="N116" i="2" s="1"/>
  <c r="O115" i="2"/>
  <c r="M115" i="2"/>
  <c r="K115" i="2"/>
  <c r="I115" i="2"/>
  <c r="G115" i="2"/>
  <c r="F115" i="2"/>
  <c r="N115" i="2" s="1"/>
  <c r="O11" i="2"/>
  <c r="M11" i="2"/>
  <c r="K11" i="2"/>
  <c r="F11" i="2"/>
  <c r="P11" i="2" s="1"/>
  <c r="O10" i="2"/>
  <c r="M10" i="2"/>
  <c r="K10" i="2"/>
  <c r="I10" i="2"/>
  <c r="G10" i="2"/>
  <c r="F10" i="2"/>
  <c r="N10" i="2" s="1"/>
  <c r="O77" i="2"/>
  <c r="M77" i="2"/>
  <c r="K77" i="2"/>
  <c r="F77" i="2"/>
  <c r="P77" i="2" s="1"/>
  <c r="O76" i="2"/>
  <c r="M76" i="2"/>
  <c r="K76" i="2"/>
  <c r="I76" i="2"/>
  <c r="G76" i="2"/>
  <c r="F76" i="2"/>
  <c r="N76" i="2" s="1"/>
  <c r="O132" i="2"/>
  <c r="M132" i="2"/>
  <c r="K132" i="2"/>
  <c r="F132" i="2"/>
  <c r="N132" i="2" s="1"/>
  <c r="O131" i="2"/>
  <c r="M131" i="2"/>
  <c r="K131" i="2"/>
  <c r="I131" i="2"/>
  <c r="G131" i="2"/>
  <c r="F131" i="2"/>
  <c r="L131" i="2" s="1"/>
  <c r="O93" i="2"/>
  <c r="M93" i="2"/>
  <c r="K93" i="2"/>
  <c r="F93" i="2"/>
  <c r="P93" i="2" s="1"/>
  <c r="O92" i="2"/>
  <c r="M92" i="2"/>
  <c r="K92" i="2"/>
  <c r="I92" i="2"/>
  <c r="G92" i="2"/>
  <c r="F92" i="2"/>
  <c r="N92" i="2" s="1"/>
  <c r="O38" i="2"/>
  <c r="M38" i="2"/>
  <c r="K38" i="2"/>
  <c r="F38" i="2"/>
  <c r="P38" i="2" s="1"/>
  <c r="O37" i="2"/>
  <c r="M37" i="2"/>
  <c r="K37" i="2"/>
  <c r="I37" i="2"/>
  <c r="G37" i="2"/>
  <c r="F37" i="2"/>
  <c r="N37" i="2" s="1"/>
  <c r="O114" i="2"/>
  <c r="M114" i="2"/>
  <c r="K114" i="2"/>
  <c r="F114" i="2"/>
  <c r="L114" i="2" s="1"/>
  <c r="O113" i="2"/>
  <c r="M113" i="2"/>
  <c r="K113" i="2"/>
  <c r="I113" i="2"/>
  <c r="G113" i="2"/>
  <c r="F113" i="2"/>
  <c r="P113" i="2" s="1"/>
  <c r="O138" i="2"/>
  <c r="M138" i="2"/>
  <c r="K138" i="2"/>
  <c r="F138" i="2"/>
  <c r="N138" i="2" s="1"/>
  <c r="O137" i="2"/>
  <c r="M137" i="2"/>
  <c r="K137" i="2"/>
  <c r="I137" i="2"/>
  <c r="G137" i="2"/>
  <c r="F137" i="2"/>
  <c r="L137" i="2" s="1"/>
  <c r="O97" i="2"/>
  <c r="M97" i="2"/>
  <c r="K97" i="2"/>
  <c r="F97" i="2"/>
  <c r="P97" i="2" s="1"/>
  <c r="O96" i="2"/>
  <c r="M96" i="2"/>
  <c r="K96" i="2"/>
  <c r="I96" i="2"/>
  <c r="G96" i="2"/>
  <c r="F96" i="2"/>
  <c r="N96" i="2" s="1"/>
  <c r="O85" i="2"/>
  <c r="M85" i="2"/>
  <c r="K85" i="2"/>
  <c r="F85" i="2"/>
  <c r="L85" i="2" s="1"/>
  <c r="O84" i="2"/>
  <c r="M84" i="2"/>
  <c r="K84" i="2"/>
  <c r="I84" i="2"/>
  <c r="G84" i="2"/>
  <c r="F84" i="2"/>
  <c r="P84" i="2" s="1"/>
  <c r="O6" i="2"/>
  <c r="M6" i="2"/>
  <c r="K6" i="2"/>
  <c r="F6" i="2"/>
  <c r="N6" i="2" s="1"/>
  <c r="O5" i="2"/>
  <c r="M5" i="2"/>
  <c r="K5" i="2"/>
  <c r="I5" i="2"/>
  <c r="G5" i="2"/>
  <c r="F5" i="2"/>
  <c r="L5" i="2" s="1"/>
  <c r="O99" i="2"/>
  <c r="M99" i="2"/>
  <c r="K99" i="2"/>
  <c r="F99" i="2"/>
  <c r="P99" i="2" s="1"/>
  <c r="O98" i="2"/>
  <c r="M98" i="2"/>
  <c r="K98" i="2"/>
  <c r="I98" i="2"/>
  <c r="G98" i="2"/>
  <c r="F98" i="2"/>
  <c r="N98" i="2" s="1"/>
  <c r="O130" i="2"/>
  <c r="M130" i="2"/>
  <c r="K130" i="2"/>
  <c r="F130" i="2"/>
  <c r="N130" i="2" s="1"/>
  <c r="O129" i="2"/>
  <c r="M129" i="2"/>
  <c r="K129" i="2"/>
  <c r="I129" i="2"/>
  <c r="G129" i="2"/>
  <c r="F129" i="2"/>
  <c r="N129" i="2" s="1"/>
  <c r="O42" i="2"/>
  <c r="M42" i="2"/>
  <c r="K42" i="2"/>
  <c r="F42" i="2"/>
  <c r="L42" i="2" s="1"/>
  <c r="O41" i="2"/>
  <c r="M41" i="2"/>
  <c r="K41" i="2"/>
  <c r="I41" i="2"/>
  <c r="G41" i="2"/>
  <c r="F41" i="2"/>
  <c r="P41" i="2" s="1"/>
  <c r="O110" i="2"/>
  <c r="M110" i="2"/>
  <c r="K110" i="2"/>
  <c r="I110" i="2"/>
  <c r="F110" i="2"/>
  <c r="J110" i="2" s="1"/>
  <c r="O30" i="2"/>
  <c r="M30" i="2"/>
  <c r="K30" i="2"/>
  <c r="F30" i="2"/>
  <c r="N30" i="2" s="1"/>
  <c r="O9" i="2"/>
  <c r="M9" i="2"/>
  <c r="K9" i="2"/>
  <c r="I9" i="2"/>
  <c r="G9" i="2"/>
  <c r="F9" i="2"/>
  <c r="O63" i="2"/>
  <c r="M63" i="2"/>
  <c r="K63" i="2"/>
  <c r="F63" i="2"/>
  <c r="L63" i="2" s="1"/>
  <c r="D9" i="1"/>
  <c r="D8" i="1"/>
  <c r="D7" i="1"/>
  <c r="D6" i="1"/>
  <c r="H25" i="4" l="1"/>
  <c r="J54" i="4"/>
  <c r="D34" i="5"/>
  <c r="I34" i="5" s="1"/>
  <c r="I32" i="5"/>
  <c r="L32" i="5" s="1"/>
  <c r="L7" i="4"/>
  <c r="L81" i="3"/>
  <c r="L9" i="2"/>
  <c r="J30" i="4"/>
  <c r="H67" i="4"/>
  <c r="J14" i="4"/>
  <c r="H17" i="4"/>
  <c r="H12" i="4"/>
  <c r="L59" i="4"/>
  <c r="L19" i="4"/>
  <c r="J74" i="3"/>
  <c r="N124" i="3"/>
  <c r="N32" i="3"/>
  <c r="N13" i="3"/>
  <c r="P32" i="3"/>
  <c r="L15" i="3"/>
  <c r="P120" i="3"/>
  <c r="H14" i="3"/>
  <c r="L119" i="3"/>
  <c r="P139" i="3"/>
  <c r="L65" i="3"/>
  <c r="P45" i="3"/>
  <c r="N36" i="3"/>
  <c r="J80" i="3"/>
  <c r="J102" i="3"/>
  <c r="N19" i="3"/>
  <c r="L38" i="3"/>
  <c r="H127" i="3"/>
  <c r="J39" i="3"/>
  <c r="L13" i="3"/>
  <c r="N120" i="3"/>
  <c r="N38" i="3"/>
  <c r="J127" i="3"/>
  <c r="H129" i="3"/>
  <c r="L71" i="3"/>
  <c r="L136" i="3"/>
  <c r="L102" i="3"/>
  <c r="H115" i="3"/>
  <c r="J64" i="3"/>
  <c r="P9" i="3"/>
  <c r="P85" i="3"/>
  <c r="L12" i="3"/>
  <c r="L60" i="3"/>
  <c r="J92" i="3"/>
  <c r="P63" i="3"/>
  <c r="H98" i="3"/>
  <c r="L84" i="3"/>
  <c r="L52" i="3"/>
  <c r="J22" i="3"/>
  <c r="H22" i="3"/>
  <c r="N33" i="3"/>
  <c r="J59" i="3"/>
  <c r="P14" i="3"/>
  <c r="N40" i="3"/>
  <c r="P78" i="3"/>
  <c r="J98" i="3"/>
  <c r="L37" i="3"/>
  <c r="N52" i="3"/>
  <c r="L22" i="2"/>
  <c r="H18" i="4"/>
  <c r="L24" i="4"/>
  <c r="H22" i="4"/>
  <c r="J12" i="4"/>
  <c r="L48" i="4"/>
  <c r="L130" i="3"/>
  <c r="L67" i="3"/>
  <c r="H55" i="3"/>
  <c r="P94" i="3"/>
  <c r="L21" i="3"/>
  <c r="J129" i="3"/>
  <c r="N97" i="3"/>
  <c r="L118" i="3"/>
  <c r="P124" i="3"/>
  <c r="P36" i="3"/>
  <c r="L80" i="3"/>
  <c r="H139" i="3"/>
  <c r="L140" i="3"/>
  <c r="J111" i="3"/>
  <c r="N112" i="3"/>
  <c r="L62" i="3"/>
  <c r="L85" i="3"/>
  <c r="N25" i="3"/>
  <c r="H72" i="3"/>
  <c r="P31" i="3"/>
  <c r="N50" i="3"/>
  <c r="H61" i="3"/>
  <c r="N42" i="3"/>
  <c r="L96" i="3"/>
  <c r="P114" i="3"/>
  <c r="P37" i="3"/>
  <c r="L66" i="3"/>
  <c r="N126" i="3"/>
  <c r="L111" i="3"/>
  <c r="P112" i="3"/>
  <c r="P90" i="3"/>
  <c r="N62" i="3"/>
  <c r="N110" i="3"/>
  <c r="L113" i="3"/>
  <c r="P115" i="3"/>
  <c r="L24" i="3"/>
  <c r="J72" i="3"/>
  <c r="P129" i="3"/>
  <c r="P126" i="3"/>
  <c r="L101" i="3"/>
  <c r="P30" i="3"/>
  <c r="L42" i="3"/>
  <c r="L99" i="3"/>
  <c r="J96" i="3"/>
  <c r="L97" i="3"/>
  <c r="N114" i="3"/>
  <c r="L76" i="3"/>
  <c r="N77" i="3"/>
  <c r="H64" i="3"/>
  <c r="J12" i="3"/>
  <c r="J117" i="3"/>
  <c r="L123" i="3"/>
  <c r="P127" i="3"/>
  <c r="J70" i="3"/>
  <c r="L125" i="3"/>
  <c r="P72" i="3"/>
  <c r="J51" i="3"/>
  <c r="N34" i="3"/>
  <c r="N43" i="3"/>
  <c r="N89" i="3"/>
  <c r="L35" i="3"/>
  <c r="H59" i="3"/>
  <c r="N27" i="3"/>
  <c r="L41" i="3"/>
  <c r="L129" i="3"/>
  <c r="N130" i="3"/>
  <c r="P92" i="3"/>
  <c r="P76" i="3"/>
  <c r="N67" i="3"/>
  <c r="P25" i="3"/>
  <c r="L128" i="3"/>
  <c r="L73" i="3"/>
  <c r="J55" i="3"/>
  <c r="P88" i="3"/>
  <c r="L74" i="3"/>
  <c r="H94" i="3"/>
  <c r="N81" i="3"/>
  <c r="N60" i="3"/>
  <c r="P39" i="3"/>
  <c r="P18" i="3"/>
  <c r="H90" i="3"/>
  <c r="P23" i="3"/>
  <c r="P26" i="3"/>
  <c r="P10" i="3"/>
  <c r="H9" i="3"/>
  <c r="L30" i="3"/>
  <c r="H76" i="3"/>
  <c r="H10" i="3"/>
  <c r="J115" i="3"/>
  <c r="L116" i="3"/>
  <c r="P117" i="3"/>
  <c r="L48" i="3"/>
  <c r="P70" i="3"/>
  <c r="L87" i="3"/>
  <c r="P51" i="3"/>
  <c r="H31" i="3"/>
  <c r="H45" i="3"/>
  <c r="L46" i="3"/>
  <c r="L95" i="3"/>
  <c r="H49" i="3"/>
  <c r="H78" i="3"/>
  <c r="L79" i="3"/>
  <c r="J82" i="3"/>
  <c r="P49" i="3"/>
  <c r="P98" i="3"/>
  <c r="P96" i="3"/>
  <c r="H37" i="3"/>
  <c r="H92" i="3"/>
  <c r="L11" i="3"/>
  <c r="P12" i="3"/>
  <c r="J47" i="3"/>
  <c r="J86" i="3"/>
  <c r="L55" i="3"/>
  <c r="J94" i="3"/>
  <c r="L50" i="3"/>
  <c r="H39" i="3"/>
  <c r="J90" i="3"/>
  <c r="N91" i="3"/>
  <c r="J106" i="3"/>
  <c r="H96" i="3"/>
  <c r="L93" i="3"/>
  <c r="J76" i="3"/>
  <c r="L77" i="3"/>
  <c r="J10" i="3"/>
  <c r="L115" i="3"/>
  <c r="N116" i="3"/>
  <c r="P64" i="3"/>
  <c r="H12" i="3"/>
  <c r="H117" i="3"/>
  <c r="N48" i="3"/>
  <c r="H70" i="3"/>
  <c r="N87" i="3"/>
  <c r="H51" i="3"/>
  <c r="L34" i="3"/>
  <c r="H88" i="3"/>
  <c r="L89" i="3"/>
  <c r="J31" i="3"/>
  <c r="N46" i="3"/>
  <c r="J35" i="3"/>
  <c r="N95" i="3"/>
  <c r="P59" i="3"/>
  <c r="J49" i="3"/>
  <c r="L40" i="3"/>
  <c r="L82" i="3"/>
  <c r="H18" i="3"/>
  <c r="L19" i="3"/>
  <c r="P22" i="3"/>
  <c r="H26" i="3"/>
  <c r="L27" i="3"/>
  <c r="J37" i="3"/>
  <c r="L47" i="3"/>
  <c r="L86" i="3"/>
  <c r="J119" i="3"/>
  <c r="P91" i="3"/>
  <c r="P61" i="3"/>
  <c r="L106" i="3"/>
  <c r="P139" i="2"/>
  <c r="H64" i="2"/>
  <c r="J26" i="2"/>
  <c r="L69" i="2"/>
  <c r="J90" i="2"/>
  <c r="L65" i="2"/>
  <c r="L88" i="2"/>
  <c r="N17" i="2"/>
  <c r="L91" i="2"/>
  <c r="J113" i="2"/>
  <c r="L77" i="2"/>
  <c r="N120" i="2"/>
  <c r="N91" i="2"/>
  <c r="L56" i="2"/>
  <c r="N13" i="2"/>
  <c r="J43" i="2"/>
  <c r="L118" i="2"/>
  <c r="L71" i="2"/>
  <c r="N107" i="2"/>
  <c r="P116" i="2"/>
  <c r="H117" i="2"/>
  <c r="P48" i="2"/>
  <c r="P87" i="2"/>
  <c r="L75" i="2"/>
  <c r="H139" i="2"/>
  <c r="N40" i="2"/>
  <c r="L103" i="2"/>
  <c r="L105" i="2"/>
  <c r="P130" i="2"/>
  <c r="H43" i="2"/>
  <c r="L44" i="2"/>
  <c r="N119" i="2"/>
  <c r="L39" i="2"/>
  <c r="N103" i="2"/>
  <c r="H96" i="2"/>
  <c r="L102" i="2"/>
  <c r="P98" i="2"/>
  <c r="N63" i="2"/>
  <c r="L38" i="2"/>
  <c r="J55" i="2"/>
  <c r="L17" i="2"/>
  <c r="L119" i="2"/>
  <c r="N34" i="2"/>
  <c r="N38" i="2"/>
  <c r="L76" i="2"/>
  <c r="N77" i="2"/>
  <c r="L12" i="2"/>
  <c r="P13" i="2"/>
  <c r="P117" i="2"/>
  <c r="L43" i="2"/>
  <c r="N44" i="2"/>
  <c r="L16" i="2"/>
  <c r="N50" i="2"/>
  <c r="N112" i="2"/>
  <c r="L106" i="2"/>
  <c r="J37" i="2"/>
  <c r="P30" i="2"/>
  <c r="L110" i="2"/>
  <c r="J96" i="2"/>
  <c r="N114" i="2"/>
  <c r="L93" i="2"/>
  <c r="N25" i="2"/>
  <c r="L33" i="2"/>
  <c r="P34" i="2"/>
  <c r="N95" i="2"/>
  <c r="N60" i="2"/>
  <c r="L23" i="2"/>
  <c r="L49" i="2"/>
  <c r="L111" i="2"/>
  <c r="P114" i="2"/>
  <c r="P76" i="2"/>
  <c r="L24" i="2"/>
  <c r="P25" i="2"/>
  <c r="P43" i="2"/>
  <c r="P89" i="2"/>
  <c r="P8" i="2"/>
  <c r="L94" i="2"/>
  <c r="P95" i="2"/>
  <c r="P60" i="2"/>
  <c r="N23" i="2"/>
  <c r="P61" i="2"/>
  <c r="P115" i="2"/>
  <c r="P86" i="2"/>
  <c r="L41" i="2"/>
  <c r="P42" i="2"/>
  <c r="P96" i="2"/>
  <c r="H92" i="2"/>
  <c r="J12" i="2"/>
  <c r="L123" i="2"/>
  <c r="P124" i="2"/>
  <c r="J70" i="2"/>
  <c r="L125" i="2"/>
  <c r="P126" i="2"/>
  <c r="H55" i="2"/>
  <c r="N89" i="2"/>
  <c r="J74" i="2"/>
  <c r="L45" i="2"/>
  <c r="P46" i="2"/>
  <c r="J104" i="2"/>
  <c r="L59" i="2"/>
  <c r="H68" i="2"/>
  <c r="L120" i="2"/>
  <c r="J49" i="2"/>
  <c r="L50" i="2"/>
  <c r="J111" i="2"/>
  <c r="J39" i="2"/>
  <c r="L40" i="2"/>
  <c r="P83" i="2"/>
  <c r="P18" i="2"/>
  <c r="H90" i="2"/>
  <c r="H61" i="2"/>
  <c r="L62" i="2"/>
  <c r="J22" i="2"/>
  <c r="L37" i="2"/>
  <c r="P10" i="2"/>
  <c r="H115" i="2"/>
  <c r="H47" i="2"/>
  <c r="H86" i="2"/>
  <c r="H7" i="2"/>
  <c r="N15" i="2"/>
  <c r="L68" i="2"/>
  <c r="N69" i="2"/>
  <c r="P112" i="2"/>
  <c r="P78" i="2"/>
  <c r="H18" i="2"/>
  <c r="L19" i="2"/>
  <c r="P107" i="2"/>
  <c r="P63" i="2"/>
  <c r="N110" i="2"/>
  <c r="H98" i="2"/>
  <c r="L99" i="2"/>
  <c r="J84" i="2"/>
  <c r="N85" i="2"/>
  <c r="L113" i="2"/>
  <c r="J66" i="2"/>
  <c r="N67" i="2"/>
  <c r="H127" i="2"/>
  <c r="P70" i="2"/>
  <c r="H72" i="2"/>
  <c r="P16" i="2"/>
  <c r="P74" i="2"/>
  <c r="P104" i="2"/>
  <c r="L83" i="2"/>
  <c r="L90" i="2"/>
  <c r="P26" i="2"/>
  <c r="P47" i="2"/>
  <c r="H129" i="2"/>
  <c r="L30" i="2"/>
  <c r="J129" i="2"/>
  <c r="L130" i="2"/>
  <c r="L96" i="2"/>
  <c r="N97" i="2"/>
  <c r="P92" i="2"/>
  <c r="H76" i="2"/>
  <c r="J115" i="2"/>
  <c r="L116" i="2"/>
  <c r="P12" i="2"/>
  <c r="J47" i="2"/>
  <c r="L48" i="2"/>
  <c r="L128" i="2"/>
  <c r="J86" i="2"/>
  <c r="L87" i="2"/>
  <c r="L73" i="2"/>
  <c r="H16" i="2"/>
  <c r="J7" i="2"/>
  <c r="L8" i="2"/>
  <c r="P15" i="2"/>
  <c r="N68" i="2"/>
  <c r="P49" i="2"/>
  <c r="P39" i="2"/>
  <c r="J82" i="2"/>
  <c r="P22" i="2"/>
  <c r="P127" i="2"/>
  <c r="P7" i="2"/>
  <c r="L97" i="2"/>
  <c r="J41" i="2"/>
  <c r="N42" i="2"/>
  <c r="L84" i="2"/>
  <c r="P85" i="2"/>
  <c r="P37" i="2"/>
  <c r="H10" i="2"/>
  <c r="L11" i="2"/>
  <c r="L66" i="2"/>
  <c r="P67" i="2"/>
  <c r="H12" i="2"/>
  <c r="N124" i="2"/>
  <c r="J127" i="2"/>
  <c r="H70" i="2"/>
  <c r="N126" i="2"/>
  <c r="J72" i="2"/>
  <c r="P55" i="2"/>
  <c r="H74" i="2"/>
  <c r="N46" i="2"/>
  <c r="H104" i="2"/>
  <c r="H49" i="2"/>
  <c r="H39" i="2"/>
  <c r="H78" i="2"/>
  <c r="H22" i="2"/>
  <c r="H26" i="2"/>
  <c r="P129" i="2"/>
  <c r="P72" i="2"/>
  <c r="L129" i="2"/>
  <c r="H37" i="2"/>
  <c r="J76" i="2"/>
  <c r="L115" i="2"/>
  <c r="P64" i="2"/>
  <c r="L47" i="2"/>
  <c r="L86" i="2"/>
  <c r="J16" i="2"/>
  <c r="L7" i="2"/>
  <c r="L82" i="2"/>
  <c r="P90" i="2"/>
  <c r="L27" i="2"/>
  <c r="H61" i="4"/>
  <c r="H63" i="4"/>
  <c r="H56" i="4"/>
  <c r="H57" i="4"/>
  <c r="J26" i="4"/>
  <c r="J38" i="4"/>
  <c r="J53" i="4"/>
  <c r="J69" i="4"/>
  <c r="J55" i="4"/>
  <c r="J33" i="4"/>
  <c r="L8" i="4"/>
  <c r="J61" i="4"/>
  <c r="H30" i="4"/>
  <c r="J11" i="4"/>
  <c r="L26" i="4"/>
  <c r="J24" i="4"/>
  <c r="H20" i="4"/>
  <c r="L53" i="4"/>
  <c r="L69" i="4"/>
  <c r="L55" i="4"/>
  <c r="L33" i="4"/>
  <c r="H7" i="4"/>
  <c r="H9" i="4"/>
  <c r="H66" i="4"/>
  <c r="H62" i="4"/>
  <c r="J18" i="4"/>
  <c r="J25" i="4"/>
  <c r="J56" i="4"/>
  <c r="J22" i="4"/>
  <c r="H5" i="4"/>
  <c r="J65" i="4"/>
  <c r="H29" i="4"/>
  <c r="J36" i="4"/>
  <c r="H44" i="4"/>
  <c r="L11" i="4"/>
  <c r="L38" i="4"/>
  <c r="H32" i="4"/>
  <c r="H13" i="4"/>
  <c r="J7" i="4"/>
  <c r="L43" i="4"/>
  <c r="H35" i="4"/>
  <c r="H34" i="4"/>
  <c r="J66" i="4"/>
  <c r="J62" i="4"/>
  <c r="L37" i="4"/>
  <c r="L10" i="4"/>
  <c r="H54" i="4"/>
  <c r="H14" i="4"/>
  <c r="H16" i="4"/>
  <c r="H23" i="4"/>
  <c r="H64" i="4"/>
  <c r="L65" i="4"/>
  <c r="H39" i="4"/>
  <c r="J29" i="4"/>
  <c r="L36" i="4"/>
  <c r="H19" i="4"/>
  <c r="J23" i="4"/>
  <c r="J64" i="4"/>
  <c r="L21" i="4"/>
  <c r="L51" i="4"/>
  <c r="N57" i="2"/>
  <c r="N136" i="2"/>
  <c r="L136" i="2"/>
  <c r="P136" i="2"/>
  <c r="N9" i="2"/>
  <c r="P6" i="2"/>
  <c r="P138" i="2"/>
  <c r="P132" i="2"/>
  <c r="P122" i="2"/>
  <c r="P54" i="2"/>
  <c r="P58" i="2"/>
  <c r="P134" i="2"/>
  <c r="P52" i="2"/>
  <c r="P32" i="2"/>
  <c r="P36" i="2"/>
  <c r="P81" i="2"/>
  <c r="N109" i="2"/>
  <c r="L109" i="2"/>
  <c r="N29" i="2"/>
  <c r="L29" i="2"/>
  <c r="P29" i="2"/>
  <c r="L135" i="2"/>
  <c r="J135" i="2"/>
  <c r="P135" i="2"/>
  <c r="H135" i="2"/>
  <c r="N122" i="3"/>
  <c r="L122" i="3"/>
  <c r="P122" i="3"/>
  <c r="L53" i="3"/>
  <c r="J53" i="3"/>
  <c r="P53" i="3"/>
  <c r="H53" i="3"/>
  <c r="L133" i="3"/>
  <c r="J133" i="3"/>
  <c r="P133" i="3"/>
  <c r="H133" i="3"/>
  <c r="N31" i="2"/>
  <c r="L45" i="4"/>
  <c r="J45" i="4"/>
  <c r="H45" i="4"/>
  <c r="P110" i="2"/>
  <c r="N41" i="2"/>
  <c r="J98" i="2"/>
  <c r="H5" i="2"/>
  <c r="P5" i="2"/>
  <c r="N84" i="2"/>
  <c r="H137" i="2"/>
  <c r="P137" i="2"/>
  <c r="N113" i="2"/>
  <c r="J92" i="2"/>
  <c r="H131" i="2"/>
  <c r="P131" i="2"/>
  <c r="J10" i="2"/>
  <c r="H121" i="2"/>
  <c r="P121" i="2"/>
  <c r="N66" i="2"/>
  <c r="J64" i="2"/>
  <c r="H53" i="2"/>
  <c r="P53" i="2"/>
  <c r="N24" i="2"/>
  <c r="J117" i="2"/>
  <c r="H57" i="2"/>
  <c r="P57" i="2"/>
  <c r="N123" i="2"/>
  <c r="H133" i="2"/>
  <c r="P133" i="2"/>
  <c r="N125" i="2"/>
  <c r="H51" i="2"/>
  <c r="P51" i="2"/>
  <c r="N33" i="2"/>
  <c r="N88" i="2"/>
  <c r="H31" i="2"/>
  <c r="P31" i="2"/>
  <c r="N45" i="2"/>
  <c r="H35" i="2"/>
  <c r="P35" i="2"/>
  <c r="N94" i="2"/>
  <c r="H80" i="2"/>
  <c r="P80" i="2"/>
  <c r="N14" i="2"/>
  <c r="L108" i="2"/>
  <c r="J108" i="2"/>
  <c r="P108" i="2"/>
  <c r="H108" i="2"/>
  <c r="L28" i="2"/>
  <c r="J28" i="2"/>
  <c r="P28" i="2"/>
  <c r="H28" i="2"/>
  <c r="L121" i="3"/>
  <c r="J121" i="3"/>
  <c r="P121" i="3"/>
  <c r="H121" i="3"/>
  <c r="L135" i="3"/>
  <c r="J135" i="3"/>
  <c r="P135" i="3"/>
  <c r="H135" i="3"/>
  <c r="N135" i="3"/>
  <c r="N131" i="2"/>
  <c r="N54" i="3"/>
  <c r="L54" i="3"/>
  <c r="P54" i="3"/>
  <c r="H9" i="2"/>
  <c r="P59" i="2"/>
  <c r="L58" i="4"/>
  <c r="J58" i="4"/>
  <c r="H58" i="4"/>
  <c r="N137" i="2"/>
  <c r="N51" i="2"/>
  <c r="H41" i="2"/>
  <c r="L98" i="2"/>
  <c r="J5" i="2"/>
  <c r="H84" i="2"/>
  <c r="J137" i="2"/>
  <c r="H113" i="2"/>
  <c r="L92" i="2"/>
  <c r="J131" i="2"/>
  <c r="L10" i="2"/>
  <c r="J121" i="2"/>
  <c r="H66" i="2"/>
  <c r="L64" i="2"/>
  <c r="J53" i="2"/>
  <c r="H24" i="2"/>
  <c r="P24" i="2"/>
  <c r="L117" i="2"/>
  <c r="J57" i="2"/>
  <c r="H123" i="2"/>
  <c r="P123" i="2"/>
  <c r="L127" i="2"/>
  <c r="L70" i="2"/>
  <c r="J133" i="2"/>
  <c r="H125" i="2"/>
  <c r="P125" i="2"/>
  <c r="L72" i="2"/>
  <c r="J51" i="2"/>
  <c r="H33" i="2"/>
  <c r="P33" i="2"/>
  <c r="L55" i="2"/>
  <c r="H88" i="2"/>
  <c r="P88" i="2"/>
  <c r="L74" i="2"/>
  <c r="J31" i="2"/>
  <c r="H45" i="2"/>
  <c r="P45" i="2"/>
  <c r="J35" i="2"/>
  <c r="H94" i="2"/>
  <c r="P94" i="2"/>
  <c r="L104" i="2"/>
  <c r="J80" i="2"/>
  <c r="H59" i="2"/>
  <c r="P14" i="2"/>
  <c r="N132" i="3"/>
  <c r="L132" i="3"/>
  <c r="P132" i="3"/>
  <c r="N5" i="2"/>
  <c r="N133" i="2"/>
  <c r="N35" i="2"/>
  <c r="N56" i="3"/>
  <c r="L56" i="3"/>
  <c r="P56" i="3"/>
  <c r="P9" i="2"/>
  <c r="J9" i="2"/>
  <c r="N99" i="2"/>
  <c r="L6" i="2"/>
  <c r="L138" i="2"/>
  <c r="N93" i="2"/>
  <c r="L132" i="2"/>
  <c r="N11" i="2"/>
  <c r="L122" i="2"/>
  <c r="N65" i="2"/>
  <c r="L54" i="2"/>
  <c r="N118" i="2"/>
  <c r="L58" i="2"/>
  <c r="N128" i="2"/>
  <c r="N71" i="2"/>
  <c r="L134" i="2"/>
  <c r="N73" i="2"/>
  <c r="L52" i="2"/>
  <c r="N56" i="2"/>
  <c r="N75" i="2"/>
  <c r="L32" i="2"/>
  <c r="L36" i="2"/>
  <c r="N105" i="2"/>
  <c r="L81" i="2"/>
  <c r="H14" i="2"/>
  <c r="P68" i="2"/>
  <c r="P119" i="2"/>
  <c r="H119" i="2"/>
  <c r="P140" i="2"/>
  <c r="N140" i="2"/>
  <c r="P109" i="2"/>
  <c r="P79" i="2"/>
  <c r="N79" i="2"/>
  <c r="N21" i="2"/>
  <c r="L21" i="2"/>
  <c r="P21" i="2"/>
  <c r="N138" i="3"/>
  <c r="L138" i="3"/>
  <c r="P138" i="3"/>
  <c r="L131" i="3"/>
  <c r="J131" i="3"/>
  <c r="P131" i="3"/>
  <c r="H131" i="3"/>
  <c r="P29" i="3"/>
  <c r="N29" i="3"/>
  <c r="L29" i="3"/>
  <c r="N80" i="2"/>
  <c r="N134" i="3"/>
  <c r="L134" i="3"/>
  <c r="P134" i="3"/>
  <c r="L121" i="2"/>
  <c r="L53" i="2"/>
  <c r="J59" i="2"/>
  <c r="N135" i="2"/>
  <c r="N101" i="2"/>
  <c r="L101" i="2"/>
  <c r="P101" i="2"/>
  <c r="L20" i="2"/>
  <c r="J20" i="2"/>
  <c r="P20" i="2"/>
  <c r="H20" i="2"/>
  <c r="N6" i="3"/>
  <c r="L6" i="3"/>
  <c r="P6" i="3"/>
  <c r="L137" i="3"/>
  <c r="J137" i="3"/>
  <c r="P137" i="3"/>
  <c r="H137" i="3"/>
  <c r="N53" i="3"/>
  <c r="N133" i="3"/>
  <c r="L57" i="3"/>
  <c r="J57" i="3"/>
  <c r="P57" i="3"/>
  <c r="H57" i="3"/>
  <c r="J14" i="2"/>
  <c r="L140" i="2"/>
  <c r="N108" i="2"/>
  <c r="L79" i="2"/>
  <c r="N28" i="2"/>
  <c r="L100" i="2"/>
  <c r="J100" i="2"/>
  <c r="P100" i="2"/>
  <c r="H100" i="2"/>
  <c r="L5" i="3"/>
  <c r="J5" i="3"/>
  <c r="P5" i="3"/>
  <c r="H5" i="3"/>
  <c r="N121" i="3"/>
  <c r="N58" i="3"/>
  <c r="L58" i="3"/>
  <c r="P58" i="3"/>
  <c r="N9" i="3"/>
  <c r="P105" i="3"/>
  <c r="N105" i="3"/>
  <c r="L105" i="3"/>
  <c r="L20" i="3"/>
  <c r="J20" i="3"/>
  <c r="P20" i="3"/>
  <c r="H20" i="3"/>
  <c r="L47" i="4"/>
  <c r="J47" i="4"/>
  <c r="H47" i="4"/>
  <c r="J139" i="2"/>
  <c r="N111" i="2"/>
  <c r="J78" i="2"/>
  <c r="N82" i="2"/>
  <c r="J18" i="2"/>
  <c r="N102" i="2"/>
  <c r="J61" i="2"/>
  <c r="N106" i="2"/>
  <c r="P110" i="3"/>
  <c r="N41" i="3"/>
  <c r="N84" i="3"/>
  <c r="N113" i="3"/>
  <c r="N66" i="3"/>
  <c r="N24" i="3"/>
  <c r="N123" i="3"/>
  <c r="N125" i="3"/>
  <c r="N75" i="3"/>
  <c r="L75" i="3"/>
  <c r="L27" i="4"/>
  <c r="J27" i="4"/>
  <c r="H27" i="4"/>
  <c r="L139" i="2"/>
  <c r="H111" i="2"/>
  <c r="L78" i="2"/>
  <c r="H82" i="2"/>
  <c r="L18" i="2"/>
  <c r="H102" i="2"/>
  <c r="P102" i="2"/>
  <c r="L61" i="2"/>
  <c r="H106" i="2"/>
  <c r="P106" i="2"/>
  <c r="L26" i="2"/>
  <c r="L63" i="3"/>
  <c r="J110" i="3"/>
  <c r="H41" i="3"/>
  <c r="P41" i="3"/>
  <c r="L98" i="3"/>
  <c r="H84" i="3"/>
  <c r="P84" i="3"/>
  <c r="H113" i="3"/>
  <c r="P113" i="3"/>
  <c r="L92" i="3"/>
  <c r="L10" i="3"/>
  <c r="H66" i="3"/>
  <c r="P66" i="3"/>
  <c r="L64" i="3"/>
  <c r="H24" i="3"/>
  <c r="P24" i="3"/>
  <c r="L117" i="3"/>
  <c r="H123" i="3"/>
  <c r="P123" i="3"/>
  <c r="N47" i="3"/>
  <c r="L127" i="3"/>
  <c r="L70" i="3"/>
  <c r="H125" i="3"/>
  <c r="P125" i="3"/>
  <c r="N86" i="3"/>
  <c r="L72" i="3"/>
  <c r="P8" i="3"/>
  <c r="N8" i="3"/>
  <c r="L46" i="4"/>
  <c r="J46" i="4"/>
  <c r="H46" i="4"/>
  <c r="N19" i="2"/>
  <c r="N62" i="2"/>
  <c r="N27" i="2"/>
  <c r="J9" i="3"/>
  <c r="N99" i="3"/>
  <c r="N93" i="3"/>
  <c r="N11" i="3"/>
  <c r="N65" i="3"/>
  <c r="N118" i="3"/>
  <c r="N128" i="3"/>
  <c r="N71" i="3"/>
  <c r="N73" i="3"/>
  <c r="J43" i="3"/>
  <c r="P43" i="3"/>
  <c r="H43" i="3"/>
  <c r="P44" i="3"/>
  <c r="N44" i="3"/>
  <c r="P17" i="3"/>
  <c r="N17" i="3"/>
  <c r="L7" i="3"/>
  <c r="J7" i="3"/>
  <c r="P7" i="3"/>
  <c r="H7" i="3"/>
  <c r="L100" i="3"/>
  <c r="J100" i="3"/>
  <c r="P100" i="3"/>
  <c r="H100" i="3"/>
  <c r="L31" i="4"/>
  <c r="J31" i="4"/>
  <c r="H31" i="4"/>
  <c r="L28" i="4"/>
  <c r="J28" i="4"/>
  <c r="H28" i="4"/>
  <c r="H47" i="3"/>
  <c r="H86" i="3"/>
  <c r="L33" i="3"/>
  <c r="J33" i="3"/>
  <c r="P33" i="3"/>
  <c r="L16" i="3"/>
  <c r="J16" i="3"/>
  <c r="P16" i="3"/>
  <c r="H16" i="3"/>
  <c r="P75" i="3"/>
  <c r="L8" i="3"/>
  <c r="P69" i="3"/>
  <c r="N69" i="3"/>
  <c r="L69" i="3"/>
  <c r="N20" i="3"/>
  <c r="L49" i="4"/>
  <c r="J49" i="4"/>
  <c r="H49" i="4"/>
  <c r="P109" i="3"/>
  <c r="N109" i="3"/>
  <c r="L109" i="3"/>
  <c r="L51" i="3"/>
  <c r="N55" i="3"/>
  <c r="J88" i="3"/>
  <c r="N74" i="3"/>
  <c r="L31" i="3"/>
  <c r="J45" i="3"/>
  <c r="N35" i="3"/>
  <c r="L94" i="3"/>
  <c r="H104" i="3"/>
  <c r="P104" i="3"/>
  <c r="N80" i="3"/>
  <c r="L59" i="3"/>
  <c r="J14" i="3"/>
  <c r="H68" i="3"/>
  <c r="P68" i="3"/>
  <c r="N119" i="3"/>
  <c r="L49" i="3"/>
  <c r="J139" i="3"/>
  <c r="H108" i="3"/>
  <c r="P108" i="3"/>
  <c r="N111" i="3"/>
  <c r="L39" i="3"/>
  <c r="J78" i="3"/>
  <c r="H28" i="3"/>
  <c r="P28" i="3"/>
  <c r="L83" i="3"/>
  <c r="N136" i="3"/>
  <c r="L103" i="3"/>
  <c r="N101" i="3"/>
  <c r="L107" i="3"/>
  <c r="N21" i="3"/>
  <c r="H50" i="4"/>
  <c r="H68" i="4"/>
  <c r="H60" i="4"/>
  <c r="J34" i="4"/>
  <c r="H15" i="4"/>
  <c r="J63" i="4"/>
  <c r="H6" i="4"/>
  <c r="H41" i="4"/>
  <c r="H40" i="4"/>
  <c r="L88" i="3"/>
  <c r="H74" i="3"/>
  <c r="L45" i="3"/>
  <c r="H35" i="3"/>
  <c r="J104" i="3"/>
  <c r="H80" i="3"/>
  <c r="L14" i="3"/>
  <c r="J68" i="3"/>
  <c r="H119" i="3"/>
  <c r="L139" i="3"/>
  <c r="J108" i="3"/>
  <c r="H111" i="3"/>
  <c r="L78" i="3"/>
  <c r="J28" i="3"/>
  <c r="N83" i="3"/>
  <c r="N103" i="3"/>
  <c r="N107" i="3"/>
  <c r="L23" i="3"/>
  <c r="J50" i="4"/>
  <c r="H43" i="4"/>
  <c r="J68" i="4"/>
  <c r="H21" i="4"/>
  <c r="H8" i="4"/>
  <c r="J60" i="4"/>
  <c r="J15" i="4"/>
  <c r="H59" i="4"/>
  <c r="H37" i="4"/>
  <c r="J6" i="4"/>
  <c r="H48" i="4"/>
  <c r="J41" i="4"/>
  <c r="H10" i="4"/>
  <c r="J40" i="4"/>
  <c r="H42" i="4"/>
  <c r="J67" i="4"/>
  <c r="H52" i="4"/>
  <c r="J16" i="4"/>
  <c r="N15" i="3"/>
  <c r="N140" i="3"/>
  <c r="N79" i="3"/>
  <c r="N82" i="3"/>
  <c r="J18" i="3"/>
  <c r="N102" i="3"/>
  <c r="L90" i="3"/>
  <c r="J61" i="3"/>
  <c r="N106" i="3"/>
  <c r="L22" i="3"/>
  <c r="J26" i="3"/>
  <c r="J5" i="4"/>
  <c r="J57" i="4"/>
  <c r="J39" i="4"/>
  <c r="J35" i="4"/>
  <c r="J9" i="4"/>
  <c r="J44" i="4"/>
  <c r="J20" i="4"/>
  <c r="J32" i="4"/>
  <c r="J17" i="4"/>
  <c r="J13" i="4"/>
  <c r="L104" i="3"/>
  <c r="L68" i="3"/>
  <c r="L108" i="3"/>
  <c r="L28" i="3"/>
  <c r="J42" i="4"/>
  <c r="J52" i="4"/>
  <c r="H82" i="3"/>
  <c r="L18" i="3"/>
  <c r="H102" i="3"/>
  <c r="L61" i="3"/>
  <c r="H106" i="3"/>
  <c r="L26" i="3"/>
  <c r="H51" i="4"/>
  <c r="I39" i="5" l="1"/>
  <c r="L34" i="5"/>
  <c r="J39" i="5" s="1"/>
  <c r="K39" i="5" l="1"/>
  <c r="K44" i="5" s="1"/>
  <c r="M39" i="5"/>
  <c r="M44" i="5" s="1"/>
</calcChain>
</file>

<file path=xl/comments1.xml><?xml version="1.0" encoding="utf-8"?>
<comments xmlns="http://schemas.openxmlformats.org/spreadsheetml/2006/main">
  <authors>
    <author>Uživatel systému Windows</author>
  </authors>
  <commentList>
    <comment ref="D22" authorId="0" shapeId="0">
      <text>
        <r>
          <rPr>
            <b/>
            <sz val="9"/>
            <color indexed="81"/>
            <rFont val="Tahoma"/>
            <family val="2"/>
            <charset val="238"/>
          </rPr>
          <t>Dvousložková polyuretanová hydroizolace. Velmi dobrá odolnost vůči chemikáliím, vodotěsnost, schopnost překlenutí statických i dynamických trhlin.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  <charset val="238"/>
          </rPr>
          <t>PORE 60 1k</t>
        </r>
        <r>
          <rPr>
            <sz val="9"/>
            <color indexed="81"/>
            <rFont val="Tahoma"/>
            <family val="2"/>
            <charset val="238"/>
          </rPr>
          <t xml:space="preserve"> </t>
        </r>
        <r>
          <rPr>
            <b/>
            <sz val="9"/>
            <color indexed="81"/>
            <rFont val="Tahoma"/>
            <family val="2"/>
            <charset val="238"/>
          </rPr>
          <t>-</t>
        </r>
        <r>
          <rPr>
            <sz val="9"/>
            <color indexed="81"/>
            <rFont val="Tahoma"/>
            <family val="2"/>
            <charset val="238"/>
          </rPr>
          <t xml:space="preserve"> Jednosložkový plnič pórů pro použití pouze do INTERIÉRU, kde nedochází k častému zatěžování vodou.
</t>
        </r>
        <r>
          <rPr>
            <b/>
            <sz val="9"/>
            <color indexed="81"/>
            <rFont val="Tahoma"/>
            <family val="2"/>
            <charset val="238"/>
          </rPr>
          <t xml:space="preserve">PORE 80 - </t>
        </r>
        <r>
          <rPr>
            <sz val="9"/>
            <color indexed="81"/>
            <rFont val="Tahoma"/>
            <family val="2"/>
            <charset val="238"/>
          </rPr>
          <t xml:space="preserve">Pouze do INTERIÉRU, vhodné i do vlhkých prostor (koupelny, prádelny, vnitřní bazény, WC, atd..)
</t>
        </r>
        <r>
          <rPr>
            <b/>
            <sz val="9"/>
            <color indexed="81"/>
            <rFont val="Tahoma"/>
            <family val="2"/>
            <charset val="238"/>
          </rPr>
          <t xml:space="preserve">PORE 100 - </t>
        </r>
        <r>
          <rPr>
            <sz val="9"/>
            <color indexed="81"/>
            <rFont val="Tahoma"/>
            <family val="2"/>
            <charset val="238"/>
          </rPr>
          <t>Pouze na nový kamnný koberec. Díky 100% UV odolnosti s používá na veškeré venkovní povrchy.</t>
        </r>
      </text>
    </comment>
  </commentList>
</comments>
</file>

<file path=xl/sharedStrings.xml><?xml version="1.0" encoding="utf-8"?>
<sst xmlns="http://schemas.openxmlformats.org/spreadsheetml/2006/main" count="2071" uniqueCount="303">
  <si>
    <t>KOLIK MATERIÁLU BUDE POTŘEBA</t>
  </si>
  <si>
    <t>Tloušťka vrstvy</t>
  </si>
  <si>
    <t>Kdy použít</t>
  </si>
  <si>
    <t>Přibližný počet m2 z jednoho SETU</t>
  </si>
  <si>
    <t>Přibližný počet SETŮ na
1 m2</t>
  </si>
  <si>
    <t xml:space="preserve">Pouze pro systém WALL  pro frakci 2-4 mm </t>
  </si>
  <si>
    <t>Dopručená tloušťka pro INTERIÉR</t>
  </si>
  <si>
    <t>Pojízdné plochy do 2t</t>
  </si>
  <si>
    <t>1 SET obsahuje: 25kg dekoračního kameniva dle vzoru + pojivo složka A + složka B</t>
  </si>
  <si>
    <t xml:space="preserve">Ve většině případů podklad není ideálně rovný, doporučujeme proto objednávt počet balení s rezervou cca 10%.
Rezervu doporučujeme i vzhledem k tomu, že kamenivo je přírodní materiál a při dokoupení v pozdějším termínu se může lišit barevný odstín. </t>
  </si>
  <si>
    <t>Kód zboží</t>
  </si>
  <si>
    <t>Název</t>
  </si>
  <si>
    <t>frakce</t>
  </si>
  <si>
    <t xml:space="preserve">Cena za SET (Kč)
(kamení + pojivo) </t>
  </si>
  <si>
    <t>Přibližná cena za 1 m2 (Kč)
při tloušťce pokládky</t>
  </si>
  <si>
    <t>6mm</t>
  </si>
  <si>
    <t>8mm</t>
  </si>
  <si>
    <t>10mm</t>
  </si>
  <si>
    <t>14mm</t>
  </si>
  <si>
    <t>20mm</t>
  </si>
  <si>
    <t>bez DPH</t>
  </si>
  <si>
    <t>vč. DPH</t>
  </si>
  <si>
    <t>LABE</t>
  </si>
  <si>
    <t>4-8</t>
  </si>
  <si>
    <t>*</t>
  </si>
  <si>
    <t>AQUA</t>
  </si>
  <si>
    <t>2-4</t>
  </si>
  <si>
    <t>DUNAJ</t>
  </si>
  <si>
    <t>2-8</t>
  </si>
  <si>
    <t>RÝN</t>
  </si>
  <si>
    <t>3-6</t>
  </si>
  <si>
    <t>GLOMNA</t>
  </si>
  <si>
    <t>4-7</t>
  </si>
  <si>
    <t>TANA</t>
  </si>
  <si>
    <t>OTRA</t>
  </si>
  <si>
    <t>ALTAELVA</t>
  </si>
  <si>
    <t>NAMSEN</t>
  </si>
  <si>
    <t>ORKLA</t>
  </si>
  <si>
    <t>VEFSNA</t>
  </si>
  <si>
    <t>SIRA</t>
  </si>
  <si>
    <t>FLAM</t>
  </si>
  <si>
    <t>NIDELVA</t>
  </si>
  <si>
    <t>TOKKE</t>
  </si>
  <si>
    <t>MOLDE</t>
  </si>
  <si>
    <t>ARENDAL</t>
  </si>
  <si>
    <t>SJOA</t>
  </si>
  <si>
    <t>SONGA</t>
  </si>
  <si>
    <t>LASKEVL</t>
  </si>
  <si>
    <t>LARVIK</t>
  </si>
  <si>
    <t>KONGSBERG</t>
  </si>
  <si>
    <t>DRAMMEN</t>
  </si>
  <si>
    <t>ASKER</t>
  </si>
  <si>
    <t>SKIEN</t>
  </si>
  <si>
    <t>KRISTIANSAND</t>
  </si>
  <si>
    <t>STAVANGER</t>
  </si>
  <si>
    <t>HAMAR</t>
  </si>
  <si>
    <t>STRYN</t>
  </si>
  <si>
    <t>LOM</t>
  </si>
  <si>
    <t>TROINTHEIM</t>
  </si>
  <si>
    <t>STEINKJER</t>
  </si>
  <si>
    <t>NAMSOS</t>
  </si>
  <si>
    <t>MO I RANA</t>
  </si>
  <si>
    <t>KIRKENES</t>
  </si>
  <si>
    <t>FAUSKE</t>
  </si>
  <si>
    <t>GRONG</t>
  </si>
  <si>
    <t>KORGEN</t>
  </si>
  <si>
    <t>NARVIK</t>
  </si>
  <si>
    <t>BARDUFOSS</t>
  </si>
  <si>
    <t>MOEN</t>
  </si>
  <si>
    <t>FAGERNES</t>
  </si>
  <si>
    <t>GRYLLEFJORD</t>
  </si>
  <si>
    <t>ANDENES</t>
  </si>
  <si>
    <t>FISKENES</t>
  </si>
  <si>
    <t>NORDMELA</t>
  </si>
  <si>
    <t>REINE</t>
  </si>
  <si>
    <t>MOSKENES</t>
  </si>
  <si>
    <t>KRYSTAD</t>
  </si>
  <si>
    <t>BALLSTAD</t>
  </si>
  <si>
    <t>LEKNES</t>
  </si>
  <si>
    <t>SKUTVIK</t>
  </si>
  <si>
    <t>HARSTAD</t>
  </si>
  <si>
    <t>VOOS</t>
  </si>
  <si>
    <t>RJUKAN</t>
  </si>
  <si>
    <t>SANDNES</t>
  </si>
  <si>
    <t>GEILO</t>
  </si>
  <si>
    <t>MOSJOEN</t>
  </si>
  <si>
    <t>DROBAK</t>
  </si>
  <si>
    <t>MOSS</t>
  </si>
  <si>
    <t>BEIAR</t>
  </si>
  <si>
    <t>VALLDOLU</t>
  </si>
  <si>
    <t>RAUMU</t>
  </si>
  <si>
    <t>NEA</t>
  </si>
  <si>
    <t>KVINA</t>
  </si>
  <si>
    <t>RANDSELVA</t>
  </si>
  <si>
    <t>RENA</t>
  </si>
  <si>
    <t>DALSNIBBA</t>
  </si>
  <si>
    <t>DRIVA</t>
  </si>
  <si>
    <t>BOVRA</t>
  </si>
  <si>
    <t xml:space="preserve">Cena za SET (Kč)
(kamení + pojivo UV) </t>
  </si>
  <si>
    <t xml:space="preserve">Cena za SET (Kč)
(kamení + penetrace + pojivo) </t>
  </si>
  <si>
    <r>
      <rPr>
        <b/>
        <i/>
        <sz val="14"/>
        <color theme="1"/>
        <rFont val="Calibri"/>
        <family val="2"/>
        <charset val="238"/>
        <scheme val="minor"/>
      </rPr>
      <t xml:space="preserve">Plnič pórů </t>
    </r>
    <r>
      <rPr>
        <b/>
        <sz val="14"/>
        <color theme="1"/>
        <rFont val="Calibri"/>
        <family val="2"/>
        <charset val="238"/>
        <scheme val="minor"/>
      </rPr>
      <t>- PORE 60 1k</t>
    </r>
  </si>
  <si>
    <t>Použití:</t>
  </si>
  <si>
    <t>Frakce</t>
  </si>
  <si>
    <t>Přibližný počet m2
z 1kg</t>
  </si>
  <si>
    <t>Přibližný počet kg
na 1 m2</t>
  </si>
  <si>
    <t>Cena 1kg
bez DPH (Kč)</t>
  </si>
  <si>
    <t>Cena 1kg
vč. DPH (Kč)</t>
  </si>
  <si>
    <t>Jednosložkový plnič pórů pro použití pouze do INTERIÉRU, kde nedochází k častému zatěžování vodou.</t>
  </si>
  <si>
    <t>2-7</t>
  </si>
  <si>
    <r>
      <rPr>
        <b/>
        <i/>
        <sz val="14"/>
        <color theme="1"/>
        <rFont val="Calibri"/>
        <family val="2"/>
        <charset val="238"/>
        <scheme val="minor"/>
      </rPr>
      <t>Plnič pórů</t>
    </r>
    <r>
      <rPr>
        <b/>
        <sz val="14"/>
        <color theme="1"/>
        <rFont val="Calibri"/>
        <family val="2"/>
        <charset val="238"/>
        <scheme val="minor"/>
      </rPr>
      <t xml:space="preserve"> - PORE 80</t>
    </r>
  </si>
  <si>
    <t>Pouze do INTERIÉRU, vhodné i do vlhkých prostor (koupelny, prádelny, vnitřní bazény, WC, atd..)</t>
  </si>
  <si>
    <t>0.67 - 0.83 m2</t>
  </si>
  <si>
    <t>1.2 -1.5
kg</t>
  </si>
  <si>
    <t>spotřeba záleží na šikovnosti řemeslníka</t>
  </si>
  <si>
    <r>
      <rPr>
        <b/>
        <i/>
        <sz val="14"/>
        <color theme="1"/>
        <rFont val="Calibri"/>
        <family val="2"/>
        <charset val="238"/>
        <scheme val="minor"/>
      </rPr>
      <t>Plnič pórů</t>
    </r>
    <r>
      <rPr>
        <b/>
        <sz val="14"/>
        <color theme="1"/>
        <rFont val="Calibri"/>
        <family val="2"/>
        <charset val="238"/>
        <scheme val="minor"/>
      </rPr>
      <t xml:space="preserve"> - PORE 100</t>
    </r>
  </si>
  <si>
    <t>Na frakce 4-7 a 4-8 se nedopručuje použití plniče pórů z důvodu vysoké spotřeby.</t>
  </si>
  <si>
    <t>Penetrace</t>
  </si>
  <si>
    <t>Přibližný počet m2 z 
1kg</t>
  </si>
  <si>
    <t>Přibližný počet kg na
1 m2</t>
  </si>
  <si>
    <t>Penerace ADZ 8</t>
  </si>
  <si>
    <t>Penetrační prosyp ADZ PP</t>
  </si>
  <si>
    <t>Regenerace</t>
  </si>
  <si>
    <t>Revitalizační nátěr EMZ R 100</t>
  </si>
  <si>
    <t>Revitalizační nátěr EMZ R EP nebo 80</t>
  </si>
  <si>
    <t>Použití - EMZ R EP nebo 80</t>
  </si>
  <si>
    <t>Použití - EMZ R 100</t>
  </si>
  <si>
    <t>Pro oživení a zpevnění kamenného koberce.</t>
  </si>
  <si>
    <t>Pro oživení a zpevnění kamenného koberce,
100% odolné proti UV záření</t>
  </si>
  <si>
    <t>Pojivo (samostatné)</t>
  </si>
  <si>
    <t>Pojivo EMZ EP</t>
  </si>
  <si>
    <t>Pojivo EMZ 80</t>
  </si>
  <si>
    <t>Pojivo EMZ 100</t>
  </si>
  <si>
    <t>Pojivo EMZ PU1k</t>
  </si>
  <si>
    <t>Pojivo EMZ 100 WALL</t>
  </si>
  <si>
    <t>Hydroizolace - HDZ 80</t>
  </si>
  <si>
    <t>Hydroizolace HDZ 80</t>
  </si>
  <si>
    <t>Použití - HDZ 80</t>
  </si>
  <si>
    <t>Dvousložková polyuretanová hydroizolace. Velmi dobrá odolnost vůči chemikáliím, vodotěsnost, schopnost překlenutí statických i dynamických trhlin.</t>
  </si>
  <si>
    <t>Ukončovací L profily</t>
  </si>
  <si>
    <t>AL NATUR profil</t>
  </si>
  <si>
    <t>AL ELOX profil</t>
  </si>
  <si>
    <t>Cena za 2,5 bm (Kč)</t>
  </si>
  <si>
    <t>AL NATUR profil L 6mm/2,5bm</t>
  </si>
  <si>
    <t>AL NATUR profil L 8mm/2,5bm</t>
  </si>
  <si>
    <t>AL NATUR profil L 10mm/2,5bm</t>
  </si>
  <si>
    <t>AL NATUR profil L 12mm/2,5bm</t>
  </si>
  <si>
    <t>AL NATUR profil L 15mm/2,5bm</t>
  </si>
  <si>
    <t>AL ELOX profl L 8mm/2,5bm</t>
  </si>
  <si>
    <t>AL ELOX profl L 12mm/2,5bm</t>
  </si>
  <si>
    <t>NEREZ profil</t>
  </si>
  <si>
    <t>AL NATUR flexi</t>
  </si>
  <si>
    <t>AL ELOX profl L 15mm/2,5bm</t>
  </si>
  <si>
    <t>NEREZ profil L 8mm/2,5bm</t>
  </si>
  <si>
    <t>NEREZ profil L 10mm/2,5bm</t>
  </si>
  <si>
    <t>NEREZ profil L 12mm/2,5bm</t>
  </si>
  <si>
    <t>NEREZ profil L 15mm/2,5bm</t>
  </si>
  <si>
    <t>AL NATUR flexi 8mm/2,5 bm</t>
  </si>
  <si>
    <t>AL NATUR flexi 10mm/2,5 bm</t>
  </si>
  <si>
    <t>AL NATUR flexi 12mm/2,5 bm</t>
  </si>
  <si>
    <t>Ukončovací L profily s drenážními otvory</t>
  </si>
  <si>
    <t>Durasol STONE z45</t>
  </si>
  <si>
    <t>Durasol STONE z25</t>
  </si>
  <si>
    <t>Durasol STONE základna25 12mm/2,5 bm</t>
  </si>
  <si>
    <t>Durasol STONE základna25 15mm/2,5 bm</t>
  </si>
  <si>
    <t>Durasol STONE základna45 10mm/2,5 bm</t>
  </si>
  <si>
    <t>Durasol STONE základna45 12mm/2,5 bm</t>
  </si>
  <si>
    <t>Ukončovací T profily</t>
  </si>
  <si>
    <t>AL NATUR profil T</t>
  </si>
  <si>
    <t>AL NATUR profil T 10/12 (2,5 bm)</t>
  </si>
  <si>
    <t>AL NATUR profil T 13/15 (2,5 bm)</t>
  </si>
  <si>
    <t>AL NATUR profil T 13/15 STONE (2,5 bm)</t>
  </si>
  <si>
    <t>Dilatační profily</t>
  </si>
  <si>
    <t>BÍLÝ</t>
  </si>
  <si>
    <t>ŠEDÝ</t>
  </si>
  <si>
    <t>Dil. Profil POLY 8mm/2,5bm BÍLÁ</t>
  </si>
  <si>
    <t>Dil. Profil POLY 8mm/2,5bm ČERNÁ</t>
  </si>
  <si>
    <t>Dil. Profil POLY 8mm/2,5bm HNĚDÁ</t>
  </si>
  <si>
    <t>Dil. Profil POLY 8mm/2,5bm ŠEDÁ</t>
  </si>
  <si>
    <t>Dil. Profil POLY 10mm/2,5bm BÍLÁ</t>
  </si>
  <si>
    <t>Dil. Profil POLY 10mm/2,5bm ČERNÁ</t>
  </si>
  <si>
    <t>Dil. Profil POLY 10mm/2,5bm HNĚDÁ</t>
  </si>
  <si>
    <t>ČERNÝ</t>
  </si>
  <si>
    <t>HNĚDÝ</t>
  </si>
  <si>
    <t>Dil. Profil POLY 10mm/2,5bm ŠEDÁ</t>
  </si>
  <si>
    <t>Dil. Profil POLY 12mm/2,5bm BÍLÁ</t>
  </si>
  <si>
    <t>Dil. Profil POLY 12mm/2,5bm ČERNÁ</t>
  </si>
  <si>
    <t>Dil. Profil POLY 12mm/2,5bm HNĚDÁ</t>
  </si>
  <si>
    <t>Dil. Profil POLY 12mm/2,5bm ŠEDÁ</t>
  </si>
  <si>
    <t>Dil. Profil POLY 15mm/2,5bm BÍLÁ</t>
  </si>
  <si>
    <t>Dil. Profil POLY 15mm/2,5bm ČERNÁ</t>
  </si>
  <si>
    <t>Dil. Profil POLY 15mm/2,5bm HNĚDÁ</t>
  </si>
  <si>
    <t>Dil. Profil POLY 15mm/2,5bm ŠEDÁ</t>
  </si>
  <si>
    <t>Ostatní profily</t>
  </si>
  <si>
    <t>TERASOVÝ profil plný</t>
  </si>
  <si>
    <t>TERASOVÝ profil STONE</t>
  </si>
  <si>
    <t>Schodový plofil a58 12mm/2,5bm</t>
  </si>
  <si>
    <t>Terasový profil AL ELOX  STONE</t>
  </si>
  <si>
    <t>Terasový profil AL ELOX plný</t>
  </si>
  <si>
    <t>Balkonový profil STONE</t>
  </si>
  <si>
    <t>Balkonový roh vnější/vnitřní STONE</t>
  </si>
  <si>
    <t>Balkonový profil DRIP</t>
  </si>
  <si>
    <t xml:space="preserve">Balkonový roh vnější/vnitřní DRIP </t>
  </si>
  <si>
    <t>BALKONOVÝ profil DRIP</t>
  </si>
  <si>
    <t>BALKONOVÝ profil STONE</t>
  </si>
  <si>
    <t>SCHODOVÝ profil</t>
  </si>
  <si>
    <t>BALKONOVÝ roh vnější/vnitřní DRIP</t>
  </si>
  <si>
    <t>CENÍK</t>
  </si>
  <si>
    <t>Interiér</t>
  </si>
  <si>
    <t>Exteriér</t>
  </si>
  <si>
    <t>Vyberte prostředí pro zamýšlenou realizaci</t>
  </si>
  <si>
    <t>VODOROVNÁ PLOCHA</t>
  </si>
  <si>
    <t>Místo</t>
  </si>
  <si>
    <t>Vyberte druh kameniva</t>
  </si>
  <si>
    <t>Frakce Název</t>
  </si>
  <si>
    <t>Vyberte tloušťu pokládky zamýšlené realizace</t>
  </si>
  <si>
    <t xml:space="preserve">  6 mm Pouze pro systém WALL  pro frakci 2-4 mm      
  8 mm Dopručená tloušťka pro INTERIÉR     
10 mm Doporučená tloušťka pro BALKÓNY     
14 mm Doporučená tloušťka pro EXTERIÉR     
20 mm Pojízdné plochy do 2t </t>
  </si>
  <si>
    <t>Doporučená tloušťka pro BALKÓNY</t>
  </si>
  <si>
    <t>Doporučená tloušťka pro EXTERIÉR</t>
  </si>
  <si>
    <t>Druh prostoru</t>
  </si>
  <si>
    <t>koficient spotřeby</t>
  </si>
  <si>
    <t xml:space="preserve">PENETRACE vodorovné plochy </t>
  </si>
  <si>
    <t>PENETRAČNÍ PROSYP</t>
  </si>
  <si>
    <t>popis výpočtu I.</t>
  </si>
  <si>
    <t>popis výpočtu II.</t>
  </si>
  <si>
    <t>jednotky</t>
  </si>
  <si>
    <t>rezerva</t>
  </si>
  <si>
    <t>INTERIÉR (finální tloušťka 8mm)</t>
  </si>
  <si>
    <t>(1 set = 25kg kameniva + pojivo)</t>
  </si>
  <si>
    <t>vypočítané množství na finální tloušťku 8 mm</t>
  </si>
  <si>
    <t>setů</t>
  </si>
  <si>
    <t>BALKÓN (finální tloušťka 10mm)</t>
  </si>
  <si>
    <t>vypočítané množství na finální tloušťku 10 mm</t>
  </si>
  <si>
    <t>EXTERÉR (finální tloušťka 14mm)</t>
  </si>
  <si>
    <t>vypočítané množství na finální tloušťku 14 mm</t>
  </si>
  <si>
    <t>POJÍZDDNÉ PLOCHY do 2t (20mm)</t>
  </si>
  <si>
    <t>vypočítané množství na finální tloušťku 20 mm</t>
  </si>
  <si>
    <t>SVISLÉ PLOCHY (finální tloušťka 6mm)</t>
  </si>
  <si>
    <t>pouze pro systém WALL pro frakci 2-4 mm, finální tloušťka 6 mm</t>
  </si>
  <si>
    <t>kg penetrace</t>
  </si>
  <si>
    <t>kg</t>
  </si>
  <si>
    <t>kg prosypu</t>
  </si>
  <si>
    <t>REGENERACE</t>
  </si>
  <si>
    <t>kg regeneračního nátěru</t>
  </si>
  <si>
    <r>
      <t>Zadejte velikost plochy v m</t>
    </r>
    <r>
      <rPr>
        <i/>
        <vertAlign val="superscript"/>
        <sz val="10"/>
        <color theme="1"/>
        <rFont val="Arial"/>
        <family val="2"/>
        <charset val="238"/>
      </rPr>
      <t>2</t>
    </r>
  </si>
  <si>
    <t>Výpočet doporučeného min. množství setů</t>
  </si>
  <si>
    <t>PENETRACE vodorovné plochy</t>
  </si>
  <si>
    <r>
      <rPr>
        <i/>
        <sz val="11"/>
        <color theme="1"/>
        <rFont val="Calibri"/>
        <family val="2"/>
        <charset val="238"/>
        <scheme val="minor"/>
      </rPr>
      <t xml:space="preserve">Plnič pórů </t>
    </r>
    <r>
      <rPr>
        <sz val="11"/>
        <color theme="1"/>
        <rFont val="Calibri"/>
        <family val="2"/>
        <charset val="238"/>
        <scheme val="minor"/>
      </rPr>
      <t>- PORE 60 1k</t>
    </r>
  </si>
  <si>
    <t>Plnič pórů - PORE 80</t>
  </si>
  <si>
    <t>Pouze na nový kamnný koberec. Díky 100% UV odolnosti s používá na veškeré venkovní povrchy.</t>
  </si>
  <si>
    <t>Plnič pórů - PORE 100</t>
  </si>
  <si>
    <t>Přibližný počet m2 z 1kg</t>
  </si>
  <si>
    <t>Přibližný počet kg na 1 m2</t>
  </si>
  <si>
    <t>Cena 1kg bez DPH (Kč)</t>
  </si>
  <si>
    <t>Cena 1kg vč. DPH (Kč)</t>
  </si>
  <si>
    <t>xxx</t>
  </si>
  <si>
    <r>
      <rPr>
        <i/>
        <sz val="11"/>
        <color theme="1"/>
        <rFont val="Calibri"/>
        <family val="2"/>
        <charset val="238"/>
        <scheme val="minor"/>
      </rPr>
      <t xml:space="preserve">Plnič pórů </t>
    </r>
    <r>
      <rPr>
        <sz val="11"/>
        <color theme="1"/>
        <rFont val="Calibri"/>
        <family val="2"/>
        <charset val="238"/>
        <scheme val="minor"/>
      </rPr>
      <t>- PORE 60 1k 2-4</t>
    </r>
  </si>
  <si>
    <r>
      <rPr>
        <i/>
        <sz val="11"/>
        <color theme="1"/>
        <rFont val="Calibri"/>
        <family val="2"/>
        <charset val="238"/>
        <scheme val="minor"/>
      </rPr>
      <t xml:space="preserve">Plnič pórů </t>
    </r>
    <r>
      <rPr>
        <sz val="11"/>
        <color theme="1"/>
        <rFont val="Calibri"/>
        <family val="2"/>
        <charset val="238"/>
        <scheme val="minor"/>
      </rPr>
      <t>- PORE 60 1k 2-7</t>
    </r>
  </si>
  <si>
    <r>
      <rPr>
        <i/>
        <sz val="11"/>
        <color theme="1"/>
        <rFont val="Calibri"/>
        <family val="2"/>
        <charset val="238"/>
        <scheme val="minor"/>
      </rPr>
      <t xml:space="preserve">Plnič pórů </t>
    </r>
    <r>
      <rPr>
        <sz val="11"/>
        <color theme="1"/>
        <rFont val="Calibri"/>
        <family val="2"/>
        <charset val="238"/>
        <scheme val="minor"/>
      </rPr>
      <t>- PORE 60 1k 2-8</t>
    </r>
  </si>
  <si>
    <t>Plnič pórů - PORE 80 2-4</t>
  </si>
  <si>
    <t>Plnič pórů - PORE 80 2-7</t>
  </si>
  <si>
    <t>Plnič pórů - PORE 80 2-8</t>
  </si>
  <si>
    <t>Plnič pórů - PORE 100 2-4</t>
  </si>
  <si>
    <t>Plnič pórů - PORE 100 2-7</t>
  </si>
  <si>
    <t>Plnič pórů - PORE 100 2-8</t>
  </si>
  <si>
    <t>Doporučujeme použít penetraci</t>
  </si>
  <si>
    <t>Doporučujeme použít penetrační posyp</t>
  </si>
  <si>
    <t>Použití hydroizolace</t>
  </si>
  <si>
    <t>Plnič pórů - PORE 60 1k</t>
  </si>
  <si>
    <t>Počet setů po započtení doporučené 10% rezervy</t>
  </si>
  <si>
    <t>Seznam plničů</t>
  </si>
  <si>
    <t>Bez plniče</t>
  </si>
  <si>
    <t>320111
320105</t>
  </si>
  <si>
    <t>Vypočítaná hodnota + 10% rezerva</t>
  </si>
  <si>
    <t>SVISLÁ PLOCHA</t>
  </si>
  <si>
    <t>VSE</t>
  </si>
  <si>
    <t>WALL</t>
  </si>
  <si>
    <t>cena</t>
  </si>
  <si>
    <t>cena bez DPH</t>
  </si>
  <si>
    <t>vodorovná plocha</t>
  </si>
  <si>
    <t>počet</t>
  </si>
  <si>
    <t>kód</t>
  </si>
  <si>
    <t>název</t>
  </si>
  <si>
    <t>svislá plocha</t>
  </si>
  <si>
    <t>EXCLUSIVE UV STABIL pro exteriér 100%</t>
  </si>
  <si>
    <t>Standartní kamenný koberec pro exteriér i interiér</t>
  </si>
  <si>
    <t>Druh koderce</t>
  </si>
  <si>
    <t>Celkem</t>
  </si>
  <si>
    <t>Výběr pojiva</t>
  </si>
  <si>
    <t>Použití plniče pórů - VÝBĚR</t>
  </si>
  <si>
    <r>
      <rPr>
        <b/>
        <i/>
        <u/>
        <sz val="18"/>
        <color rgb="FFFF0000"/>
        <rFont val="Arial"/>
        <family val="2"/>
        <charset val="238"/>
      </rPr>
      <t>Pokyny:</t>
    </r>
    <r>
      <rPr>
        <b/>
        <sz val="18"/>
        <color rgb="FFFF0000"/>
        <rFont val="Arial"/>
        <family val="2"/>
        <charset val="238"/>
      </rPr>
      <t xml:space="preserve"> </t>
    </r>
  </si>
  <si>
    <t>TAKTO BAREVNÁ POLE VYPLŇTE</t>
  </si>
  <si>
    <t>PENETRAČNÍ POSYP</t>
  </si>
  <si>
    <t>Tuto tloušťku pro svislou plochu nedoporučujeme</t>
  </si>
  <si>
    <t>ceny jsou pouze orientační, od cen na e-shopu se mohou lišit!</t>
  </si>
  <si>
    <t>Formulář je připravený k tisku</t>
  </si>
  <si>
    <t>info@jkkamen.cz</t>
  </si>
  <si>
    <t>eshop.jkkamen.cz</t>
  </si>
  <si>
    <t>CENÍK PLATNÝ OD 16.3.2022</t>
  </si>
  <si>
    <t>Ceník standardního kamenného koberce pro exteriér i interiér (platný od 16.3.2022)</t>
  </si>
  <si>
    <t>Ceník kamenného koberce EXCLUSIVE UV STABIL pro exteriér 100% odolnost proti UV záření (platný od 16.3.2022)</t>
  </si>
  <si>
    <t>Ceník kamenného koberce v systému WALL (platný od 16.3.2022)</t>
  </si>
  <si>
    <r>
      <t xml:space="preserve">Ceník a vydatnost doplňkové chemie </t>
    </r>
    <r>
      <rPr>
        <b/>
        <sz val="11"/>
        <color theme="1"/>
        <rFont val="Calibri"/>
        <family val="2"/>
        <charset val="238"/>
        <scheme val="minor"/>
      </rPr>
      <t>(ceník platný od 16.3.2022)</t>
    </r>
  </si>
  <si>
    <t>ceník platný od 16.3.2022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</si>
</sst>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0.00&quot; m2&quot;"/>
    <numFmt numFmtId="165" formatCode="0.00&quot; setu&quot;"/>
    <numFmt numFmtId="166" formatCode="#,##0.00\ &quot;Kč&quot;"/>
    <numFmt numFmtId="167" formatCode="#,##0.0"/>
    <numFmt numFmtId="168" formatCode="0.00&quot; kg&quot;"/>
    <numFmt numFmtId="169" formatCode="0.0"/>
    <numFmt numFmtId="170" formatCode="#,##0.0\ _K_č"/>
    <numFmt numFmtId="171" formatCode="0&quot; mm&quot;"/>
    <numFmt numFmtId="172" formatCode="0&quot; kg&quot;"/>
    <numFmt numFmtId="173" formatCode="\+000,000,000,000"/>
    <numFmt numFmtId="174" formatCode="&quot;kg&quot;"/>
    <numFmt numFmtId="175" formatCode="0.0&quot; m2&quot;"/>
  </numFmts>
  <fonts count="5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u/>
      <sz val="2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rgb="FFF1581B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4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sz val="8"/>
      <color rgb="FF000000"/>
      <name val="Segoe UI"/>
      <family val="2"/>
      <charset val="238"/>
    </font>
    <font>
      <sz val="11"/>
      <color theme="5" tint="0.7999816888943144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22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2922B"/>
      <name val="Arial"/>
      <family val="2"/>
      <charset val="238"/>
    </font>
    <font>
      <sz val="11"/>
      <color theme="0"/>
      <name val="Arial"/>
      <family val="2"/>
      <charset val="238"/>
    </font>
    <font>
      <sz val="12"/>
      <color theme="1"/>
      <name val="Arial"/>
      <family val="2"/>
      <charset val="238"/>
    </font>
    <font>
      <b/>
      <sz val="18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u/>
      <sz val="18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7"/>
      <color rgb="FFFF0000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rgb="FFC00000"/>
      <name val="Arial"/>
      <family val="2"/>
      <charset val="238"/>
    </font>
    <font>
      <b/>
      <sz val="36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483">
    <xf numFmtId="0" fontId="0" fillId="0" borderId="0" xfId="0"/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4" fillId="0" borderId="2" xfId="0" applyFont="1" applyFill="1" applyBorder="1" applyAlignment="1" applyProtection="1">
      <alignment horizontal="center" wrapText="1"/>
      <protection locked="0"/>
    </xf>
    <xf numFmtId="0" fontId="4" fillId="0" borderId="3" xfId="0" applyFont="1" applyFill="1" applyBorder="1" applyAlignment="1" applyProtection="1">
      <alignment horizontal="center" wrapText="1"/>
      <protection locked="0"/>
    </xf>
    <xf numFmtId="164" fontId="4" fillId="0" borderId="5" xfId="0" applyNumberFormat="1" applyFont="1" applyFill="1" applyBorder="1" applyAlignment="1">
      <alignment horizontal="center"/>
    </xf>
    <xf numFmtId="165" fontId="4" fillId="0" borderId="6" xfId="0" applyNumberFormat="1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165" fontId="4" fillId="0" borderId="9" xfId="0" applyNumberFormat="1" applyFont="1" applyFill="1" applyBorder="1" applyAlignment="1">
      <alignment horizontal="center"/>
    </xf>
    <xf numFmtId="164" fontId="4" fillId="0" borderId="11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  <xf numFmtId="166" fontId="8" fillId="2" borderId="25" xfId="0" applyNumberFormat="1" applyFont="1" applyFill="1" applyBorder="1" applyAlignment="1" applyProtection="1">
      <alignment horizontal="center"/>
      <protection locked="0"/>
    </xf>
    <xf numFmtId="0" fontId="8" fillId="3" borderId="26" xfId="0" applyFont="1" applyFill="1" applyBorder="1" applyAlignment="1" applyProtection="1">
      <alignment horizontal="center"/>
      <protection locked="0"/>
    </xf>
    <xf numFmtId="166" fontId="8" fillId="0" borderId="10" xfId="0" applyNumberFormat="1" applyFont="1" applyFill="1" applyBorder="1" applyAlignment="1" applyProtection="1">
      <alignment horizontal="center"/>
      <protection locked="0"/>
    </xf>
    <xf numFmtId="0" fontId="8" fillId="0" borderId="12" xfId="0" applyFont="1" applyFill="1" applyBorder="1" applyAlignment="1" applyProtection="1">
      <alignment horizontal="center"/>
      <protection locked="0"/>
    </xf>
    <xf numFmtId="3" fontId="3" fillId="0" borderId="20" xfId="0" applyNumberFormat="1" applyFont="1" applyFill="1" applyBorder="1" applyAlignment="1" applyProtection="1">
      <alignment horizontal="center"/>
      <protection locked="0"/>
    </xf>
    <xf numFmtId="0" fontId="3" fillId="0" borderId="27" xfId="0" applyFont="1" applyFill="1" applyBorder="1" applyAlignment="1" applyProtection="1">
      <alignment horizontal="left"/>
      <protection locked="0"/>
    </xf>
    <xf numFmtId="49" fontId="9" fillId="0" borderId="19" xfId="0" applyNumberFormat="1" applyFont="1" applyFill="1" applyBorder="1" applyAlignment="1" applyProtection="1">
      <alignment horizontal="center"/>
      <protection locked="0"/>
    </xf>
    <xf numFmtId="167" fontId="4" fillId="2" borderId="20" xfId="0" applyNumberFormat="1" applyFont="1" applyFill="1" applyBorder="1" applyAlignment="1" applyProtection="1">
      <alignment horizontal="center"/>
      <protection locked="0"/>
    </xf>
    <xf numFmtId="167" fontId="4" fillId="3" borderId="21" xfId="0" applyNumberFormat="1" applyFont="1" applyFill="1" applyBorder="1" applyAlignment="1" applyProtection="1">
      <alignment horizontal="center"/>
    </xf>
    <xf numFmtId="167" fontId="4" fillId="0" borderId="28" xfId="0" applyNumberFormat="1" applyFont="1" applyFill="1" applyBorder="1" applyAlignment="1" applyProtection="1">
      <alignment horizontal="center"/>
    </xf>
    <xf numFmtId="167" fontId="4" fillId="0" borderId="20" xfId="0" applyNumberFormat="1" applyFont="1" applyFill="1" applyBorder="1" applyAlignment="1" applyProtection="1">
      <alignment horizontal="center"/>
    </xf>
    <xf numFmtId="167" fontId="4" fillId="0" borderId="21" xfId="0" applyNumberFormat="1" applyFont="1" applyFill="1" applyBorder="1" applyAlignment="1" applyProtection="1">
      <alignment horizontal="center"/>
    </xf>
    <xf numFmtId="3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7" fontId="4" fillId="2" borderId="7" xfId="0" applyNumberFormat="1" applyFont="1" applyFill="1" applyBorder="1" applyAlignment="1" applyProtection="1">
      <alignment horizontal="center"/>
      <protection locked="0"/>
    </xf>
    <xf numFmtId="167" fontId="4" fillId="3" borderId="9" xfId="0" applyNumberFormat="1" applyFont="1" applyFill="1" applyBorder="1" applyAlignment="1" applyProtection="1">
      <alignment horizontal="center"/>
    </xf>
    <xf numFmtId="167" fontId="4" fillId="0" borderId="15" xfId="0" applyNumberFormat="1" applyFont="1" applyFill="1" applyBorder="1" applyAlignment="1" applyProtection="1">
      <alignment horizontal="center"/>
    </xf>
    <xf numFmtId="167" fontId="4" fillId="0" borderId="13" xfId="0" applyNumberFormat="1" applyFont="1" applyFill="1" applyBorder="1" applyAlignment="1" applyProtection="1">
      <alignment horizontal="center"/>
    </xf>
    <xf numFmtId="167" fontId="4" fillId="0" borderId="7" xfId="0" applyNumberFormat="1" applyFont="1" applyFill="1" applyBorder="1" applyAlignment="1" applyProtection="1">
      <alignment horizontal="center"/>
    </xf>
    <xf numFmtId="167" fontId="4" fillId="0" borderId="9" xfId="0" applyNumberFormat="1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left"/>
      <protection locked="0"/>
    </xf>
    <xf numFmtId="3" fontId="10" fillId="0" borderId="7" xfId="0" applyNumberFormat="1" applyFont="1" applyFill="1" applyBorder="1" applyAlignment="1" applyProtection="1">
      <alignment horizontal="center"/>
      <protection locked="0"/>
    </xf>
    <xf numFmtId="167" fontId="4" fillId="2" borderId="15" xfId="0" applyNumberFormat="1" applyFont="1" applyFill="1" applyBorder="1" applyAlignment="1" applyProtection="1">
      <alignment horizontal="center"/>
      <protection locked="0"/>
    </xf>
    <xf numFmtId="167" fontId="4" fillId="3" borderId="13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  <protection locked="0"/>
    </xf>
    <xf numFmtId="49" fontId="9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3" fontId="3" fillId="0" borderId="10" xfId="0" applyNumberFormat="1" applyFont="1" applyFill="1" applyBorder="1" applyAlignment="1" applyProtection="1">
      <alignment horizontal="center"/>
      <protection locked="0"/>
    </xf>
    <xf numFmtId="0" fontId="3" fillId="0" borderId="40" xfId="0" applyFont="1" applyFill="1" applyBorder="1" applyAlignment="1" applyProtection="1">
      <alignment horizontal="left"/>
      <protection locked="0"/>
    </xf>
    <xf numFmtId="49" fontId="9" fillId="0" borderId="24" xfId="0" applyNumberFormat="1" applyFont="1" applyFill="1" applyBorder="1" applyAlignment="1" applyProtection="1">
      <alignment horizontal="center"/>
      <protection locked="0"/>
    </xf>
    <xf numFmtId="167" fontId="4" fillId="2" borderId="41" xfId="0" applyNumberFormat="1" applyFont="1" applyFill="1" applyBorder="1" applyAlignment="1" applyProtection="1">
      <alignment horizontal="center"/>
      <protection locked="0"/>
    </xf>
    <xf numFmtId="167" fontId="4" fillId="3" borderId="40" xfId="0" applyNumberFormat="1" applyFont="1" applyFill="1" applyBorder="1" applyAlignment="1" applyProtection="1">
      <alignment horizontal="center"/>
    </xf>
    <xf numFmtId="167" fontId="4" fillId="0" borderId="10" xfId="0" applyNumberFormat="1" applyFont="1" applyFill="1" applyBorder="1" applyAlignment="1" applyProtection="1">
      <alignment horizontal="center"/>
    </xf>
    <xf numFmtId="167" fontId="4" fillId="0" borderId="12" xfId="0" applyNumberFormat="1" applyFont="1" applyFill="1" applyBorder="1" applyAlignment="1" applyProtection="1">
      <alignment horizontal="center"/>
    </xf>
    <xf numFmtId="167" fontId="4" fillId="0" borderId="41" xfId="0" applyNumberFormat="1" applyFont="1" applyFill="1" applyBorder="1" applyAlignment="1" applyProtection="1">
      <alignment horizontal="center"/>
    </xf>
    <xf numFmtId="167" fontId="4" fillId="0" borderId="40" xfId="0" applyNumberFormat="1" applyFont="1" applyFill="1" applyBorder="1" applyAlignment="1" applyProtection="1">
      <alignment horizontal="center"/>
    </xf>
    <xf numFmtId="166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Alignment="1" applyProtection="1">
      <alignment horizontal="left"/>
      <protection locked="0"/>
    </xf>
    <xf numFmtId="49" fontId="9" fillId="0" borderId="0" xfId="0" applyNumberFormat="1" applyFont="1" applyFill="1" applyAlignment="1" applyProtection="1">
      <alignment horizontal="center"/>
      <protection locked="0"/>
    </xf>
    <xf numFmtId="166" fontId="4" fillId="0" borderId="0" xfId="0" applyNumberFormat="1" applyFont="1" applyFill="1" applyAlignment="1" applyProtection="1">
      <alignment horizontal="center"/>
      <protection locked="0"/>
    </xf>
    <xf numFmtId="3" fontId="10" fillId="0" borderId="20" xfId="0" applyNumberFormat="1" applyFont="1" applyFill="1" applyBorder="1" applyAlignment="1" applyProtection="1">
      <alignment horizontal="center"/>
      <protection locked="0"/>
    </xf>
    <xf numFmtId="0" fontId="10" fillId="0" borderId="27" xfId="0" applyFont="1" applyFill="1" applyBorder="1" applyAlignment="1" applyProtection="1">
      <alignment horizontal="left"/>
      <protection locked="0"/>
    </xf>
    <xf numFmtId="49" fontId="13" fillId="0" borderId="19" xfId="0" applyNumberFormat="1" applyFont="1" applyFill="1" applyBorder="1" applyAlignment="1" applyProtection="1">
      <alignment horizontal="center"/>
      <protection locked="0"/>
    </xf>
    <xf numFmtId="167" fontId="14" fillId="2" borderId="28" xfId="0" applyNumberFormat="1" applyFont="1" applyFill="1" applyBorder="1" applyAlignment="1" applyProtection="1">
      <alignment horizontal="center"/>
      <protection locked="0"/>
    </xf>
    <xf numFmtId="167" fontId="14" fillId="3" borderId="27" xfId="0" applyNumberFormat="1" applyFont="1" applyFill="1" applyBorder="1" applyAlignment="1" applyProtection="1">
      <alignment horizontal="center"/>
    </xf>
    <xf numFmtId="167" fontId="14" fillId="0" borderId="20" xfId="0" applyNumberFormat="1" applyFont="1" applyFill="1" applyBorder="1" applyAlignment="1" applyProtection="1">
      <alignment horizontal="center"/>
    </xf>
    <xf numFmtId="167" fontId="14" fillId="0" borderId="21" xfId="0" applyNumberFormat="1" applyFont="1" applyFill="1" applyBorder="1" applyAlignment="1" applyProtection="1">
      <alignment horizontal="center"/>
    </xf>
    <xf numFmtId="167" fontId="14" fillId="0" borderId="28" xfId="0" applyNumberFormat="1" applyFont="1" applyFill="1" applyBorder="1" applyAlignment="1" applyProtection="1">
      <alignment horizontal="center"/>
    </xf>
    <xf numFmtId="167" fontId="14" fillId="0" borderId="27" xfId="0" applyNumberFormat="1" applyFont="1" applyFill="1" applyBorder="1" applyAlignment="1" applyProtection="1">
      <alignment horizontal="center"/>
    </xf>
    <xf numFmtId="0" fontId="10" fillId="0" borderId="13" xfId="0" applyFont="1" applyFill="1" applyBorder="1" applyAlignment="1" applyProtection="1">
      <alignment horizontal="left"/>
      <protection locked="0"/>
    </xf>
    <xf numFmtId="49" fontId="13" fillId="0" borderId="23" xfId="0" applyNumberFormat="1" applyFont="1" applyFill="1" applyBorder="1" applyAlignment="1" applyProtection="1">
      <alignment horizontal="center"/>
      <protection locked="0"/>
    </xf>
    <xf numFmtId="167" fontId="14" fillId="2" borderId="15" xfId="0" applyNumberFormat="1" applyFont="1" applyFill="1" applyBorder="1" applyAlignment="1" applyProtection="1">
      <alignment horizontal="center"/>
      <protection locked="0"/>
    </xf>
    <xf numFmtId="167" fontId="14" fillId="3" borderId="13" xfId="0" applyNumberFormat="1" applyFont="1" applyFill="1" applyBorder="1" applyAlignment="1" applyProtection="1">
      <alignment horizontal="center"/>
    </xf>
    <xf numFmtId="167" fontId="14" fillId="0" borderId="7" xfId="0" applyNumberFormat="1" applyFont="1" applyFill="1" applyBorder="1" applyAlignment="1" applyProtection="1">
      <alignment horizontal="center"/>
    </xf>
    <xf numFmtId="167" fontId="14" fillId="0" borderId="9" xfId="0" applyNumberFormat="1" applyFont="1" applyFill="1" applyBorder="1" applyAlignment="1" applyProtection="1">
      <alignment horizontal="center"/>
    </xf>
    <xf numFmtId="167" fontId="14" fillId="0" borderId="15" xfId="0" applyNumberFormat="1" applyFont="1" applyFill="1" applyBorder="1" applyAlignment="1" applyProtection="1">
      <alignment horizontal="center"/>
    </xf>
    <xf numFmtId="167" fontId="14" fillId="0" borderId="13" xfId="0" applyNumberFormat="1" applyFont="1" applyFill="1" applyBorder="1" applyAlignment="1" applyProtection="1">
      <alignment horizontal="center"/>
    </xf>
    <xf numFmtId="0" fontId="10" fillId="0" borderId="40" xfId="0" applyFont="1" applyFill="1" applyBorder="1" applyAlignment="1" applyProtection="1">
      <alignment horizontal="left"/>
      <protection locked="0"/>
    </xf>
    <xf numFmtId="49" fontId="13" fillId="0" borderId="24" xfId="0" applyNumberFormat="1" applyFont="1" applyFill="1" applyBorder="1" applyAlignment="1" applyProtection="1">
      <alignment horizontal="center"/>
      <protection locked="0"/>
    </xf>
    <xf numFmtId="167" fontId="14" fillId="2" borderId="41" xfId="0" applyNumberFormat="1" applyFont="1" applyFill="1" applyBorder="1" applyAlignment="1" applyProtection="1">
      <alignment horizontal="center"/>
      <protection locked="0"/>
    </xf>
    <xf numFmtId="167" fontId="14" fillId="3" borderId="40" xfId="0" applyNumberFormat="1" applyFont="1" applyFill="1" applyBorder="1" applyAlignment="1" applyProtection="1">
      <alignment horizontal="center"/>
    </xf>
    <xf numFmtId="167" fontId="14" fillId="0" borderId="10" xfId="0" applyNumberFormat="1" applyFont="1" applyFill="1" applyBorder="1" applyAlignment="1" applyProtection="1">
      <alignment horizontal="center"/>
    </xf>
    <xf numFmtId="167" fontId="14" fillId="0" borderId="12" xfId="0" applyNumberFormat="1" applyFont="1" applyFill="1" applyBorder="1" applyAlignment="1" applyProtection="1">
      <alignment horizontal="center"/>
    </xf>
    <xf numFmtId="167" fontId="14" fillId="0" borderId="41" xfId="0" applyNumberFormat="1" applyFont="1" applyFill="1" applyBorder="1" applyAlignment="1" applyProtection="1">
      <alignment horizontal="center"/>
    </xf>
    <xf numFmtId="167" fontId="14" fillId="0" borderId="40" xfId="0" applyNumberFormat="1" applyFont="1" applyFill="1" applyBorder="1" applyAlignment="1" applyProtection="1">
      <alignment horizontal="center"/>
    </xf>
    <xf numFmtId="166" fontId="8" fillId="2" borderId="41" xfId="0" applyNumberFormat="1" applyFont="1" applyFill="1" applyBorder="1" applyAlignment="1" applyProtection="1">
      <alignment horizontal="center"/>
      <protection locked="0"/>
    </xf>
    <xf numFmtId="0" fontId="8" fillId="3" borderId="40" xfId="0" applyFont="1" applyFill="1" applyBorder="1" applyAlignment="1" applyProtection="1">
      <alignment horizontal="center"/>
      <protection locked="0"/>
    </xf>
    <xf numFmtId="0" fontId="8" fillId="0" borderId="40" xfId="0" applyFont="1" applyFill="1" applyBorder="1" applyAlignment="1" applyProtection="1">
      <alignment horizontal="center"/>
      <protection locked="0"/>
    </xf>
    <xf numFmtId="166" fontId="8" fillId="0" borderId="41" xfId="0" applyNumberFormat="1" applyFon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 applyProtection="1">
      <alignment horizontal="left"/>
      <protection locked="0"/>
    </xf>
    <xf numFmtId="0" fontId="3" fillId="0" borderId="12" xfId="0" applyFont="1" applyFill="1" applyBorder="1" applyAlignment="1" applyProtection="1">
      <alignment horizontal="left"/>
      <protection locked="0"/>
    </xf>
    <xf numFmtId="167" fontId="4" fillId="2" borderId="10" xfId="0" applyNumberFormat="1" applyFont="1" applyFill="1" applyBorder="1" applyAlignment="1" applyProtection="1">
      <alignment horizontal="center"/>
      <protection locked="0"/>
    </xf>
    <xf numFmtId="167" fontId="4" fillId="3" borderId="12" xfId="0" applyNumberFormat="1" applyFont="1" applyFill="1" applyBorder="1" applyAlignment="1" applyProtection="1">
      <alignment horizontal="center"/>
    </xf>
    <xf numFmtId="49" fontId="9" fillId="0" borderId="14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167" fontId="4" fillId="0" borderId="8" xfId="0" applyNumberFormat="1" applyFont="1" applyFill="1" applyBorder="1" applyAlignment="1" applyProtection="1">
      <alignment horizontal="center"/>
    </xf>
    <xf numFmtId="3" fontId="15" fillId="0" borderId="49" xfId="0" applyNumberFormat="1" applyFont="1" applyFill="1" applyBorder="1" applyAlignment="1">
      <alignment horizontal="center"/>
    </xf>
    <xf numFmtId="0" fontId="7" fillId="0" borderId="0" xfId="0" applyFont="1" applyFill="1" applyBorder="1" applyAlignment="1" applyProtection="1">
      <protection locked="0"/>
    </xf>
    <xf numFmtId="0" fontId="0" fillId="0" borderId="20" xfId="0" applyBorder="1"/>
    <xf numFmtId="0" fontId="0" fillId="0" borderId="42" xfId="0" applyFill="1" applyBorder="1" applyAlignment="1" applyProtection="1">
      <alignment horizontal="center" vertical="center" wrapText="1"/>
      <protection locked="0"/>
    </xf>
    <xf numFmtId="0" fontId="0" fillId="0" borderId="21" xfId="0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Protection="1">
      <protection locked="0"/>
    </xf>
    <xf numFmtId="168" fontId="4" fillId="0" borderId="8" xfId="0" applyNumberFormat="1" applyFont="1" applyFill="1" applyBorder="1" applyAlignment="1">
      <alignment horizontal="center"/>
    </xf>
    <xf numFmtId="49" fontId="4" fillId="0" borderId="10" xfId="0" applyNumberFormat="1" applyFont="1" applyFill="1" applyBorder="1" applyProtection="1">
      <protection locked="0"/>
    </xf>
    <xf numFmtId="168" fontId="4" fillId="0" borderId="11" xfId="0" applyNumberFormat="1" applyFont="1" applyFill="1" applyBorder="1" applyAlignment="1">
      <alignment horizontal="center"/>
    </xf>
    <xf numFmtId="3" fontId="15" fillId="0" borderId="16" xfId="0" applyNumberFormat="1" applyFont="1" applyFill="1" applyBorder="1" applyAlignment="1">
      <alignment horizontal="center"/>
    </xf>
    <xf numFmtId="49" fontId="4" fillId="0" borderId="29" xfId="0" applyNumberFormat="1" applyFont="1" applyFill="1" applyBorder="1" applyProtection="1">
      <protection locked="0"/>
    </xf>
    <xf numFmtId="49" fontId="4" fillId="0" borderId="53" xfId="0" applyNumberFormat="1" applyFont="1" applyFill="1" applyBorder="1" applyProtection="1">
      <protection locked="0"/>
    </xf>
    <xf numFmtId="167" fontId="4" fillId="0" borderId="11" xfId="0" applyNumberFormat="1" applyFont="1" applyFill="1" applyBorder="1" applyAlignment="1" applyProtection="1">
      <alignment horizontal="center"/>
    </xf>
    <xf numFmtId="0" fontId="0" fillId="0" borderId="1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3" fontId="4" fillId="0" borderId="7" xfId="0" applyNumberFormat="1" applyFont="1" applyFill="1" applyBorder="1" applyAlignment="1">
      <alignment horizontal="center"/>
    </xf>
    <xf numFmtId="3" fontId="4" fillId="0" borderId="10" xfId="0" applyNumberFormat="1" applyFont="1" applyFill="1" applyBorder="1" applyAlignment="1">
      <alignment horizontal="center"/>
    </xf>
    <xf numFmtId="3" fontId="4" fillId="0" borderId="38" xfId="0" applyNumberFormat="1" applyFont="1" applyFill="1" applyBorder="1" applyAlignment="1">
      <alignment horizontal="center"/>
    </xf>
    <xf numFmtId="164" fontId="4" fillId="0" borderId="51" xfId="0" applyNumberFormat="1" applyFont="1" applyFill="1" applyBorder="1" applyAlignment="1">
      <alignment horizontal="center"/>
    </xf>
    <xf numFmtId="168" fontId="4" fillId="0" borderId="51" xfId="0" applyNumberFormat="1" applyFont="1" applyFill="1" applyBorder="1" applyAlignment="1">
      <alignment horizontal="center"/>
    </xf>
    <xf numFmtId="167" fontId="4" fillId="0" borderId="51" xfId="0" applyNumberFormat="1" applyFont="1" applyFill="1" applyBorder="1" applyAlignment="1" applyProtection="1">
      <alignment horizontal="center"/>
    </xf>
    <xf numFmtId="167" fontId="4" fillId="0" borderId="39" xfId="0" applyNumberFormat="1" applyFont="1" applyFill="1" applyBorder="1" applyAlignment="1" applyProtection="1">
      <alignment horizontal="center"/>
    </xf>
    <xf numFmtId="3" fontId="18" fillId="0" borderId="38" xfId="0" applyNumberFormat="1" applyFont="1" applyFill="1" applyBorder="1" applyAlignment="1">
      <alignment horizontal="center" vertical="center" wrapText="1"/>
    </xf>
    <xf numFmtId="0" fontId="20" fillId="0" borderId="54" xfId="0" applyFont="1" applyFill="1" applyBorder="1" applyAlignment="1" applyProtection="1">
      <alignment vertical="center" wrapText="1"/>
      <protection locked="0"/>
    </xf>
    <xf numFmtId="0" fontId="0" fillId="0" borderId="58" xfId="0" applyFont="1" applyFill="1" applyBorder="1" applyAlignment="1" applyProtection="1">
      <alignment wrapText="1"/>
      <protection locked="0"/>
    </xf>
    <xf numFmtId="3" fontId="4" fillId="0" borderId="20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168" fontId="4" fillId="0" borderId="2" xfId="0" applyNumberFormat="1" applyFont="1" applyFill="1" applyBorder="1" applyAlignment="1">
      <alignment horizontal="center"/>
    </xf>
    <xf numFmtId="167" fontId="4" fillId="0" borderId="2" xfId="0" applyNumberFormat="1" applyFont="1" applyFill="1" applyBorder="1" applyAlignment="1" applyProtection="1">
      <alignment horizontal="center"/>
    </xf>
    <xf numFmtId="167" fontId="4" fillId="0" borderId="3" xfId="0" applyNumberFormat="1" applyFont="1" applyFill="1" applyBorder="1" applyAlignment="1" applyProtection="1">
      <alignment horizontal="center"/>
    </xf>
    <xf numFmtId="0" fontId="22" fillId="0" borderId="0" xfId="0" applyFont="1" applyFill="1" applyAlignment="1" applyProtection="1">
      <alignment horizontal="center" vertical="center" wrapText="1"/>
      <protection locked="0"/>
    </xf>
    <xf numFmtId="0" fontId="21" fillId="0" borderId="0" xfId="0" applyFont="1" applyFill="1" applyAlignment="1" applyProtection="1">
      <alignment horizontal="center" vertical="center"/>
      <protection locked="0"/>
    </xf>
    <xf numFmtId="0" fontId="21" fillId="0" borderId="0" xfId="0" applyFont="1" applyFill="1" applyAlignment="1" applyProtection="1">
      <alignment vertical="center"/>
      <protection locked="0"/>
    </xf>
    <xf numFmtId="166" fontId="8" fillId="0" borderId="34" xfId="0" applyNumberFormat="1" applyFont="1" applyFill="1" applyBorder="1" applyAlignment="1" applyProtection="1">
      <alignment horizontal="center"/>
      <protection locked="0"/>
    </xf>
    <xf numFmtId="0" fontId="8" fillId="0" borderId="35" xfId="0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Protection="1">
      <protection locked="0"/>
    </xf>
    <xf numFmtId="0" fontId="4" fillId="0" borderId="17" xfId="0" applyFont="1" applyFill="1" applyBorder="1" applyAlignment="1" applyProtection="1">
      <alignment horizontal="center"/>
      <protection locked="0"/>
    </xf>
    <xf numFmtId="170" fontId="4" fillId="0" borderId="43" xfId="0" applyNumberFormat="1" applyFont="1" applyFill="1" applyBorder="1" applyAlignment="1" applyProtection="1">
      <alignment horizontal="center"/>
      <protection locked="0"/>
    </xf>
    <xf numFmtId="170" fontId="4" fillId="0" borderId="44" xfId="0" applyNumberFormat="1" applyFont="1" applyFill="1" applyBorder="1" applyAlignment="1" applyProtection="1">
      <alignment horizontal="center"/>
      <protection locked="0"/>
    </xf>
    <xf numFmtId="0" fontId="3" fillId="0" borderId="29" xfId="0" applyFont="1" applyFill="1" applyBorder="1" applyProtection="1">
      <protection locked="0"/>
    </xf>
    <xf numFmtId="170" fontId="4" fillId="0" borderId="45" xfId="0" applyNumberFormat="1" applyFont="1" applyFill="1" applyBorder="1" applyAlignment="1" applyProtection="1">
      <alignment horizontal="center"/>
      <protection locked="0"/>
    </xf>
    <xf numFmtId="170" fontId="4" fillId="0" borderId="35" xfId="0" applyNumberFormat="1" applyFont="1" applyFill="1" applyBorder="1" applyAlignment="1" applyProtection="1">
      <alignment horizontal="center"/>
      <protection locked="0"/>
    </xf>
    <xf numFmtId="0" fontId="3" fillId="0" borderId="64" xfId="0" applyFont="1" applyFill="1" applyBorder="1" applyProtection="1">
      <protection locked="0"/>
    </xf>
    <xf numFmtId="0" fontId="4" fillId="0" borderId="47" xfId="0" applyFont="1" applyFill="1" applyBorder="1" applyAlignment="1" applyProtection="1">
      <alignment horizontal="center"/>
      <protection locked="0"/>
    </xf>
    <xf numFmtId="170" fontId="4" fillId="0" borderId="5" xfId="0" applyNumberFormat="1" applyFont="1" applyFill="1" applyBorder="1" applyAlignment="1" applyProtection="1">
      <alignment horizontal="center"/>
      <protection locked="0"/>
    </xf>
    <xf numFmtId="170" fontId="4" fillId="0" borderId="6" xfId="0" applyNumberFormat="1" applyFont="1" applyFill="1" applyBorder="1" applyAlignment="1" applyProtection="1">
      <alignment horizontal="center"/>
      <protection locked="0"/>
    </xf>
    <xf numFmtId="0" fontId="3" fillId="0" borderId="65" xfId="0" applyFont="1" applyFill="1" applyBorder="1" applyProtection="1">
      <protection locked="0"/>
    </xf>
    <xf numFmtId="0" fontId="4" fillId="0" borderId="57" xfId="0" applyFont="1" applyFill="1" applyBorder="1" applyAlignment="1" applyProtection="1">
      <alignment horizontal="center"/>
      <protection locked="0"/>
    </xf>
    <xf numFmtId="170" fontId="4" fillId="0" borderId="51" xfId="0" applyNumberFormat="1" applyFont="1" applyFill="1" applyBorder="1" applyAlignment="1" applyProtection="1">
      <alignment horizontal="center"/>
      <protection locked="0"/>
    </xf>
    <xf numFmtId="170" fontId="4" fillId="0" borderId="39" xfId="0" applyNumberFormat="1" applyFont="1" applyFill="1" applyBorder="1" applyAlignment="1" applyProtection="1">
      <alignment horizontal="center"/>
      <protection locked="0"/>
    </xf>
    <xf numFmtId="0" fontId="3" fillId="0" borderId="53" xfId="0" applyFont="1" applyFill="1" applyBorder="1" applyProtection="1">
      <protection locked="0"/>
    </xf>
    <xf numFmtId="0" fontId="4" fillId="0" borderId="54" xfId="0" applyFont="1" applyFill="1" applyBorder="1" applyAlignment="1" applyProtection="1">
      <alignment horizontal="center"/>
      <protection locked="0"/>
    </xf>
    <xf numFmtId="170" fontId="4" fillId="0" borderId="52" xfId="0" applyNumberFormat="1" applyFont="1" applyFill="1" applyBorder="1" applyAlignment="1" applyProtection="1">
      <alignment horizontal="center"/>
      <protection locked="0"/>
    </xf>
    <xf numFmtId="170" fontId="4" fillId="0" borderId="26" xfId="0" applyNumberFormat="1" applyFont="1" applyFill="1" applyBorder="1" applyAlignment="1" applyProtection="1">
      <alignment horizontal="center"/>
      <protection locked="0"/>
    </xf>
    <xf numFmtId="0" fontId="3" fillId="0" borderId="47" xfId="0" applyFont="1" applyFill="1" applyBorder="1" applyProtection="1">
      <protection locked="0"/>
    </xf>
    <xf numFmtId="0" fontId="0" fillId="0" borderId="47" xfId="0" applyFill="1" applyBorder="1" applyProtection="1">
      <protection locked="0"/>
    </xf>
    <xf numFmtId="0" fontId="18" fillId="0" borderId="57" xfId="0" applyFont="1" applyFill="1" applyBorder="1" applyAlignment="1" applyProtection="1">
      <alignment horizontal="center" vertical="center" wrapText="1"/>
      <protection locked="0"/>
    </xf>
    <xf numFmtId="170" fontId="4" fillId="0" borderId="0" xfId="0" applyNumberFormat="1" applyFont="1" applyFill="1" applyBorder="1" applyAlignment="1" applyProtection="1">
      <alignment horizontal="center"/>
      <protection locked="0"/>
    </xf>
    <xf numFmtId="169" fontId="4" fillId="0" borderId="44" xfId="0" applyNumberFormat="1" applyFont="1" applyFill="1" applyBorder="1" applyAlignment="1" applyProtection="1">
      <alignment horizontal="center"/>
      <protection locked="0"/>
    </xf>
    <xf numFmtId="169" fontId="4" fillId="0" borderId="35" xfId="0" applyNumberFormat="1" applyFont="1" applyFill="1" applyBorder="1" applyAlignment="1" applyProtection="1">
      <alignment horizontal="center"/>
      <protection locked="0"/>
    </xf>
    <xf numFmtId="169" fontId="4" fillId="0" borderId="6" xfId="0" applyNumberFormat="1" applyFont="1" applyFill="1" applyBorder="1" applyAlignment="1" applyProtection="1">
      <alignment horizontal="center"/>
      <protection locked="0"/>
    </xf>
    <xf numFmtId="169" fontId="4" fillId="0" borderId="39" xfId="0" applyNumberFormat="1" applyFont="1" applyFill="1" applyBorder="1" applyAlignment="1" applyProtection="1">
      <alignment horizontal="center"/>
      <protection locked="0"/>
    </xf>
    <xf numFmtId="169" fontId="4" fillId="0" borderId="26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68" xfId="0" applyFont="1" applyFill="1" applyBorder="1" applyProtection="1">
      <protection locked="0"/>
    </xf>
    <xf numFmtId="0" fontId="4" fillId="0" borderId="56" xfId="0" applyFont="1" applyFill="1" applyBorder="1" applyAlignment="1" applyProtection="1">
      <alignment horizontal="center"/>
      <protection locked="0"/>
    </xf>
    <xf numFmtId="170" fontId="4" fillId="0" borderId="42" xfId="0" applyNumberFormat="1" applyFont="1" applyFill="1" applyBorder="1" applyAlignment="1" applyProtection="1">
      <alignment horizontal="center"/>
      <protection locked="0"/>
    </xf>
    <xf numFmtId="170" fontId="4" fillId="0" borderId="61" xfId="0" applyNumberFormat="1" applyFont="1" applyFill="1" applyBorder="1" applyAlignment="1" applyProtection="1">
      <alignment horizontal="center"/>
      <protection locked="0"/>
    </xf>
    <xf numFmtId="170" fontId="4" fillId="0" borderId="63" xfId="0" applyNumberFormat="1" applyFont="1" applyFill="1" applyBorder="1" applyAlignment="1" applyProtection="1">
      <alignment horizontal="center"/>
      <protection locked="0"/>
    </xf>
    <xf numFmtId="170" fontId="4" fillId="0" borderId="62" xfId="0" applyNumberFormat="1" applyFont="1" applyFill="1" applyBorder="1" applyAlignment="1" applyProtection="1">
      <alignment horizontal="center"/>
      <protection locked="0"/>
    </xf>
    <xf numFmtId="170" fontId="0" fillId="0" borderId="39" xfId="0" applyNumberFormat="1" applyFont="1" applyFill="1" applyBorder="1" applyAlignment="1" applyProtection="1">
      <alignment horizontal="center"/>
      <protection locked="0"/>
    </xf>
    <xf numFmtId="0" fontId="8" fillId="0" borderId="47" xfId="0" applyFont="1" applyFill="1" applyBorder="1" applyAlignment="1" applyProtection="1">
      <alignment wrapText="1"/>
      <protection locked="0"/>
    </xf>
    <xf numFmtId="0" fontId="8" fillId="0" borderId="47" xfId="0" applyFont="1" applyFill="1" applyBorder="1" applyAlignment="1" applyProtection="1">
      <protection locked="0"/>
    </xf>
    <xf numFmtId="3" fontId="3" fillId="0" borderId="0" xfId="0" applyNumberFormat="1" applyFont="1" applyFill="1" applyBorder="1" applyAlignment="1" applyProtection="1">
      <alignment horizontal="center"/>
      <protection locked="0"/>
    </xf>
    <xf numFmtId="3" fontId="10" fillId="0" borderId="0" xfId="0" applyNumberFormat="1" applyFont="1" applyFill="1" applyBorder="1" applyAlignment="1" applyProtection="1">
      <alignment horizontal="center"/>
      <protection locked="0"/>
    </xf>
    <xf numFmtId="171" fontId="4" fillId="0" borderId="4" xfId="0" applyNumberFormat="1" applyFont="1" applyFill="1" applyBorder="1" applyProtection="1">
      <protection locked="0"/>
    </xf>
    <xf numFmtId="171" fontId="4" fillId="0" borderId="7" xfId="0" applyNumberFormat="1" applyFont="1" applyFill="1" applyBorder="1" applyProtection="1">
      <protection locked="0"/>
    </xf>
    <xf numFmtId="171" fontId="4" fillId="0" borderId="10" xfId="0" applyNumberFormat="1" applyFont="1" applyFill="1" applyBorder="1" applyProtection="1">
      <protection locked="0"/>
    </xf>
    <xf numFmtId="0" fontId="0" fillId="0" borderId="8" xfId="0" applyBorder="1"/>
    <xf numFmtId="0" fontId="0" fillId="0" borderId="8" xfId="0" applyFill="1" applyBorder="1" applyAlignment="1">
      <alignment wrapText="1"/>
    </xf>
    <xf numFmtId="0" fontId="0" fillId="0" borderId="8" xfId="0" applyFill="1" applyBorder="1"/>
    <xf numFmtId="0" fontId="0" fillId="0" borderId="8" xfId="0" applyBorder="1" applyAlignment="1">
      <alignment wrapText="1"/>
    </xf>
    <xf numFmtId="0" fontId="0" fillId="0" borderId="8" xfId="0" applyBorder="1" applyAlignment="1">
      <alignment textRotation="45"/>
    </xf>
    <xf numFmtId="0" fontId="0" fillId="0" borderId="8" xfId="0" applyFill="1" applyBorder="1" applyAlignment="1">
      <alignment textRotation="45" wrapText="1"/>
    </xf>
    <xf numFmtId="0" fontId="4" fillId="0" borderId="11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0" xfId="0" applyFont="1" applyBorder="1"/>
    <xf numFmtId="0" fontId="0" fillId="0" borderId="57" xfId="0" applyBorder="1" applyAlignment="1">
      <alignment horizontal="center"/>
    </xf>
    <xf numFmtId="3" fontId="0" fillId="0" borderId="71" xfId="0" applyNumberFormat="1" applyFont="1" applyFill="1" applyBorder="1" applyAlignment="1"/>
    <xf numFmtId="3" fontId="20" fillId="0" borderId="71" xfId="0" applyNumberFormat="1" applyFont="1" applyFill="1" applyBorder="1" applyAlignment="1"/>
    <xf numFmtId="0" fontId="0" fillId="0" borderId="0" xfId="0" applyFill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57" xfId="0" applyBorder="1" applyAlignment="1">
      <alignment horizontal="center" wrapText="1"/>
    </xf>
    <xf numFmtId="164" fontId="4" fillId="0" borderId="8" xfId="0" applyNumberFormat="1" applyFont="1" applyFill="1" applyBorder="1" applyAlignment="1">
      <alignment horizontal="center" wrapText="1"/>
    </xf>
    <xf numFmtId="168" fontId="4" fillId="0" borderId="8" xfId="0" applyNumberFormat="1" applyFont="1" applyFill="1" applyBorder="1" applyAlignment="1">
      <alignment horizontal="center" wrapText="1"/>
    </xf>
    <xf numFmtId="167" fontId="4" fillId="0" borderId="51" xfId="0" applyNumberFormat="1" applyFont="1" applyFill="1" applyBorder="1" applyAlignment="1" applyProtection="1">
      <alignment vertical="center" wrapText="1"/>
    </xf>
    <xf numFmtId="167" fontId="4" fillId="0" borderId="39" xfId="0" applyNumberFormat="1" applyFont="1" applyFill="1" applyBorder="1" applyAlignment="1" applyProtection="1">
      <alignment vertical="center" wrapText="1"/>
    </xf>
    <xf numFmtId="164" fontId="4" fillId="0" borderId="11" xfId="0" applyNumberFormat="1" applyFont="1" applyFill="1" applyBorder="1" applyAlignment="1">
      <alignment horizontal="center" wrapText="1"/>
    </xf>
    <xf numFmtId="168" fontId="4" fillId="0" borderId="11" xfId="0" applyNumberFormat="1" applyFont="1" applyFill="1" applyBorder="1" applyAlignment="1">
      <alignment horizontal="center" wrapText="1"/>
    </xf>
    <xf numFmtId="167" fontId="4" fillId="0" borderId="11" xfId="0" applyNumberFormat="1" applyFont="1" applyFill="1" applyBorder="1" applyAlignment="1" applyProtection="1">
      <alignment vertical="center" wrapText="1"/>
    </xf>
    <xf numFmtId="167" fontId="4" fillId="0" borderId="12" xfId="0" applyNumberFormat="1" applyFont="1" applyFill="1" applyBorder="1" applyAlignment="1" applyProtection="1">
      <alignment vertical="center" wrapText="1"/>
    </xf>
    <xf numFmtId="49" fontId="0" fillId="0" borderId="7" xfId="0" applyNumberFormat="1" applyFill="1" applyBorder="1" applyProtection="1">
      <protection locked="0"/>
    </xf>
    <xf numFmtId="49" fontId="0" fillId="0" borderId="10" xfId="0" applyNumberFormat="1" applyBorder="1"/>
    <xf numFmtId="0" fontId="0" fillId="0" borderId="8" xfId="0" applyBorder="1" applyAlignment="1">
      <alignment horizontal="center" wrapText="1"/>
    </xf>
    <xf numFmtId="0" fontId="0" fillId="0" borderId="8" xfId="0" applyFill="1" applyBorder="1" applyAlignment="1" applyProtection="1">
      <alignment horizontal="center" wrapText="1"/>
      <protection locked="0"/>
    </xf>
    <xf numFmtId="0" fontId="0" fillId="0" borderId="9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67" fontId="4" fillId="0" borderId="27" xfId="0" applyNumberFormat="1" applyFont="1" applyFill="1" applyBorder="1" applyAlignment="1" applyProtection="1">
      <alignment horizontal="center"/>
    </xf>
    <xf numFmtId="167" fontId="4" fillId="0" borderId="9" xfId="0" applyNumberFormat="1" applyFont="1" applyFill="1" applyBorder="1" applyAlignment="1" applyProtection="1">
      <alignment horizontal="center"/>
    </xf>
    <xf numFmtId="167" fontId="4" fillId="0" borderId="12" xfId="0" applyNumberFormat="1" applyFont="1" applyFill="1" applyBorder="1" applyAlignment="1" applyProtection="1">
      <alignment horizontal="center"/>
    </xf>
    <xf numFmtId="0" fontId="35" fillId="0" borderId="0" xfId="0" applyFont="1" applyFill="1" applyProtection="1">
      <protection locked="0"/>
    </xf>
    <xf numFmtId="0" fontId="3" fillId="0" borderId="0" xfId="0" applyFont="1"/>
    <xf numFmtId="0" fontId="8" fillId="0" borderId="0" xfId="0" applyFont="1" applyFill="1" applyBorder="1" applyAlignment="1" applyProtection="1">
      <alignment wrapText="1"/>
      <protection locked="0"/>
    </xf>
    <xf numFmtId="0" fontId="8" fillId="0" borderId="68" xfId="0" applyFont="1" applyFill="1" applyBorder="1" applyAlignment="1" applyProtection="1">
      <protection locked="0"/>
    </xf>
    <xf numFmtId="3" fontId="0" fillId="0" borderId="29" xfId="0" applyNumberFormat="1" applyFont="1" applyFill="1" applyBorder="1" applyAlignment="1"/>
    <xf numFmtId="3" fontId="20" fillId="0" borderId="29" xfId="0" applyNumberFormat="1" applyFont="1" applyFill="1" applyBorder="1" applyAlignment="1"/>
    <xf numFmtId="3" fontId="20" fillId="0" borderId="53" xfId="0" applyNumberFormat="1" applyFont="1" applyFill="1" applyBorder="1" applyAlignment="1"/>
    <xf numFmtId="166" fontId="4" fillId="0" borderId="0" xfId="0" applyNumberFormat="1" applyFont="1" applyFill="1" applyBorder="1" applyAlignment="1" applyProtection="1">
      <alignment horizontal="left" vertical="center" wrapText="1"/>
    </xf>
    <xf numFmtId="166" fontId="4" fillId="0" borderId="30" xfId="0" applyNumberFormat="1" applyFont="1" applyFill="1" applyBorder="1" applyAlignment="1" applyProtection="1">
      <alignment horizontal="left" vertical="center" wrapText="1"/>
    </xf>
    <xf numFmtId="0" fontId="8" fillId="0" borderId="56" xfId="0" applyFont="1" applyFill="1" applyBorder="1" applyAlignment="1" applyProtection="1">
      <protection locked="0"/>
    </xf>
    <xf numFmtId="0" fontId="8" fillId="0" borderId="61" xfId="0" applyFont="1" applyFill="1" applyBorder="1" applyAlignment="1" applyProtection="1">
      <protection locked="0"/>
    </xf>
    <xf numFmtId="166" fontId="4" fillId="0" borderId="54" xfId="0" applyNumberFormat="1" applyFont="1" applyFill="1" applyBorder="1" applyAlignment="1" applyProtection="1">
      <alignment horizontal="left" vertical="center" wrapText="1"/>
    </xf>
    <xf numFmtId="166" fontId="4" fillId="0" borderId="55" xfId="0" applyNumberFormat="1" applyFont="1" applyFill="1" applyBorder="1" applyAlignment="1" applyProtection="1">
      <alignment horizontal="left" vertical="center" wrapText="1"/>
    </xf>
    <xf numFmtId="3" fontId="0" fillId="0" borderId="53" xfId="0" applyNumberFormat="1" applyFont="1" applyFill="1" applyBorder="1" applyAlignment="1"/>
    <xf numFmtId="3" fontId="10" fillId="0" borderId="10" xfId="0" applyNumberFormat="1" applyFont="1" applyFill="1" applyBorder="1" applyAlignment="1" applyProtection="1">
      <alignment horizontal="center"/>
      <protection locked="0"/>
    </xf>
    <xf numFmtId="0" fontId="10" fillId="0" borderId="9" xfId="0" applyFont="1" applyFill="1" applyBorder="1" applyAlignment="1" applyProtection="1">
      <alignment horizontal="left"/>
      <protection locked="0"/>
    </xf>
    <xf numFmtId="0" fontId="25" fillId="0" borderId="0" xfId="0" applyFont="1" applyProtection="1">
      <protection hidden="1"/>
    </xf>
    <xf numFmtId="0" fontId="25" fillId="0" borderId="37" xfId="0" applyFont="1" applyBorder="1" applyProtection="1">
      <protection hidden="1"/>
    </xf>
    <xf numFmtId="0" fontId="24" fillId="0" borderId="36" xfId="0" applyFont="1" applyBorder="1" applyAlignment="1" applyProtection="1">
      <alignment horizontal="center" vertical="center"/>
      <protection hidden="1"/>
    </xf>
    <xf numFmtId="0" fontId="25" fillId="0" borderId="0" xfId="0" applyFont="1" applyBorder="1" applyProtection="1">
      <protection hidden="1"/>
    </xf>
    <xf numFmtId="0" fontId="25" fillId="0" borderId="70" xfId="0" applyFont="1" applyBorder="1" applyProtection="1">
      <protection hidden="1"/>
    </xf>
    <xf numFmtId="0" fontId="24" fillId="0" borderId="69" xfId="0" applyFont="1" applyBorder="1" applyAlignment="1" applyProtection="1">
      <alignment horizontal="center" vertical="center"/>
      <protection hidden="1"/>
    </xf>
    <xf numFmtId="0" fontId="25" fillId="0" borderId="32" xfId="0" applyFont="1" applyBorder="1" applyProtection="1">
      <protection hidden="1"/>
    </xf>
    <xf numFmtId="0" fontId="28" fillId="0" borderId="31" xfId="0" applyFont="1" applyBorder="1" applyAlignment="1" applyProtection="1">
      <alignment horizontal="center" vertical="center"/>
      <protection hidden="1"/>
    </xf>
    <xf numFmtId="0" fontId="25" fillId="0" borderId="69" xfId="0" applyFont="1" applyBorder="1" applyProtection="1">
      <protection hidden="1"/>
    </xf>
    <xf numFmtId="0" fontId="27" fillId="0" borderId="69" xfId="0" applyFont="1" applyBorder="1" applyAlignment="1" applyProtection="1">
      <alignment horizontal="center" vertical="center"/>
      <protection hidden="1"/>
    </xf>
    <xf numFmtId="0" fontId="25" fillId="0" borderId="0" xfId="0" applyFont="1" applyFill="1" applyBorder="1" applyProtection="1">
      <protection hidden="1"/>
    </xf>
    <xf numFmtId="0" fontId="44" fillId="0" borderId="69" xfId="0" applyFont="1" applyBorder="1" applyProtection="1">
      <protection hidden="1"/>
    </xf>
    <xf numFmtId="0" fontId="31" fillId="0" borderId="0" xfId="0" applyFont="1" applyFill="1" applyBorder="1" applyProtection="1">
      <protection hidden="1"/>
    </xf>
    <xf numFmtId="0" fontId="31" fillId="0" borderId="69" xfId="0" applyFont="1" applyBorder="1" applyProtection="1">
      <protection hidden="1"/>
    </xf>
    <xf numFmtId="0" fontId="26" fillId="0" borderId="13" xfId="0" applyFont="1" applyFill="1" applyBorder="1" applyAlignment="1" applyProtection="1">
      <alignment horizontal="center" vertical="center"/>
      <protection hidden="1"/>
    </xf>
    <xf numFmtId="0" fontId="26" fillId="0" borderId="15" xfId="0" applyFont="1" applyFill="1" applyBorder="1" applyAlignment="1" applyProtection="1">
      <alignment horizontal="center" vertical="center"/>
      <protection hidden="1"/>
    </xf>
    <xf numFmtId="0" fontId="26" fillId="0" borderId="69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left" vertical="center" wrapText="1"/>
      <protection hidden="1"/>
    </xf>
    <xf numFmtId="0" fontId="25" fillId="0" borderId="69" xfId="0" applyFont="1" applyBorder="1" applyAlignment="1" applyProtection="1">
      <alignment horizontal="center"/>
      <protection hidden="1"/>
    </xf>
    <xf numFmtId="0" fontId="34" fillId="0" borderId="13" xfId="0" applyFont="1" applyFill="1" applyBorder="1" applyAlignment="1" applyProtection="1">
      <protection hidden="1"/>
    </xf>
    <xf numFmtId="0" fontId="27" fillId="0" borderId="0" xfId="0" applyFont="1" applyFill="1" applyBorder="1" applyAlignment="1" applyProtection="1">
      <alignment horizontal="left" indent="1"/>
      <protection hidden="1"/>
    </xf>
    <xf numFmtId="0" fontId="25" fillId="0" borderId="13" xfId="0" applyFont="1" applyFill="1" applyBorder="1" applyProtection="1">
      <protection hidden="1"/>
    </xf>
    <xf numFmtId="0" fontId="25" fillId="0" borderId="14" xfId="0" applyFont="1" applyFill="1" applyBorder="1" applyProtection="1">
      <protection hidden="1"/>
    </xf>
    <xf numFmtId="0" fontId="30" fillId="0" borderId="14" xfId="0" applyFont="1" applyFill="1" applyBorder="1" applyAlignment="1" applyProtection="1">
      <alignment horizontal="center" vertical="center"/>
      <protection hidden="1"/>
    </xf>
    <xf numFmtId="0" fontId="25" fillId="0" borderId="15" xfId="0" applyFont="1" applyFill="1" applyBorder="1" applyProtection="1">
      <protection hidden="1"/>
    </xf>
    <xf numFmtId="0" fontId="25" fillId="0" borderId="0" xfId="0" applyFont="1" applyAlignment="1" applyProtection="1">
      <alignment wrapText="1"/>
      <protection hidden="1"/>
    </xf>
    <xf numFmtId="0" fontId="41" fillId="0" borderId="72" xfId="0" applyFont="1" applyBorder="1" applyAlignment="1" applyProtection="1">
      <alignment horizontal="center"/>
      <protection hidden="1"/>
    </xf>
    <xf numFmtId="0" fontId="39" fillId="0" borderId="73" xfId="0" applyFont="1" applyBorder="1" applyAlignment="1" applyProtection="1">
      <alignment horizontal="right"/>
      <protection hidden="1"/>
    </xf>
    <xf numFmtId="0" fontId="40" fillId="0" borderId="73" xfId="0" applyFont="1" applyBorder="1" applyAlignment="1" applyProtection="1">
      <alignment horizontal="center"/>
      <protection hidden="1"/>
    </xf>
    <xf numFmtId="0" fontId="40" fillId="0" borderId="73" xfId="0" applyFont="1" applyBorder="1" applyAlignment="1" applyProtection="1">
      <protection hidden="1"/>
    </xf>
    <xf numFmtId="0" fontId="40" fillId="0" borderId="73" xfId="0" applyFont="1" applyBorder="1" applyProtection="1">
      <protection hidden="1"/>
    </xf>
    <xf numFmtId="174" fontId="40" fillId="0" borderId="73" xfId="0" applyNumberFormat="1" applyFont="1" applyBorder="1" applyAlignment="1" applyProtection="1">
      <alignment horizontal="left"/>
      <protection hidden="1"/>
    </xf>
    <xf numFmtId="174" fontId="40" fillId="0" borderId="74" xfId="0" applyNumberFormat="1" applyFont="1" applyBorder="1" applyAlignment="1" applyProtection="1">
      <alignment horizontal="left"/>
      <protection hidden="1"/>
    </xf>
    <xf numFmtId="0" fontId="25" fillId="0" borderId="47" xfId="0" applyFont="1" applyBorder="1" applyProtection="1">
      <protection hidden="1"/>
    </xf>
    <xf numFmtId="0" fontId="25" fillId="0" borderId="31" xfId="0" applyFont="1" applyBorder="1" applyProtection="1">
      <protection hidden="1"/>
    </xf>
    <xf numFmtId="0" fontId="25" fillId="0" borderId="57" xfId="0" applyFont="1" applyBorder="1" applyProtection="1">
      <protection locked="0" hidden="1"/>
    </xf>
    <xf numFmtId="0" fontId="25" fillId="0" borderId="0" xfId="0" applyFont="1" applyBorder="1" applyProtection="1">
      <protection locked="0" hidden="1"/>
    </xf>
    <xf numFmtId="0" fontId="25" fillId="0" borderId="70" xfId="0" applyFont="1" applyBorder="1" applyProtection="1">
      <protection locked="0" hidden="1"/>
    </xf>
    <xf numFmtId="0" fontId="25" fillId="0" borderId="47" xfId="0" applyFont="1" applyBorder="1" applyProtection="1">
      <protection locked="0" hidden="1"/>
    </xf>
    <xf numFmtId="0" fontId="25" fillId="0" borderId="0" xfId="0" applyFont="1" applyProtection="1">
      <protection locked="0" hidden="1"/>
    </xf>
    <xf numFmtId="0" fontId="46" fillId="5" borderId="0" xfId="0" applyFont="1" applyFill="1" applyAlignment="1" applyProtection="1">
      <alignment vertical="center"/>
      <protection hidden="1"/>
    </xf>
    <xf numFmtId="0" fontId="47" fillId="0" borderId="0" xfId="0" applyFont="1" applyFill="1" applyAlignment="1" applyProtection="1">
      <alignment wrapText="1"/>
      <protection hidden="1"/>
    </xf>
    <xf numFmtId="0" fontId="47" fillId="0" borderId="0" xfId="0" applyFont="1" applyFill="1" applyAlignment="1" applyProtection="1">
      <alignment horizontal="left" vertical="center" wrapText="1"/>
      <protection hidden="1"/>
    </xf>
    <xf numFmtId="0" fontId="40" fillId="0" borderId="75" xfId="0" applyFont="1" applyBorder="1" applyAlignment="1" applyProtection="1">
      <protection hidden="1"/>
    </xf>
    <xf numFmtId="171" fontId="4" fillId="0" borderId="20" xfId="0" applyNumberFormat="1" applyFont="1" applyFill="1" applyBorder="1" applyProtection="1">
      <protection locked="0"/>
    </xf>
    <xf numFmtId="0" fontId="4" fillId="0" borderId="21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 applyProtection="1">
      <alignment horizontal="center"/>
      <protection locked="0"/>
    </xf>
    <xf numFmtId="0" fontId="54" fillId="0" borderId="0" xfId="0" applyFont="1" applyAlignment="1" applyProtection="1">
      <alignment horizontal="left" vertical="center"/>
      <protection hidden="1"/>
    </xf>
    <xf numFmtId="1" fontId="40" fillId="0" borderId="74" xfId="0" applyNumberFormat="1" applyFont="1" applyBorder="1" applyAlignment="1" applyProtection="1">
      <protection hidden="1"/>
    </xf>
    <xf numFmtId="167" fontId="4" fillId="0" borderId="8" xfId="0" applyNumberFormat="1" applyFont="1" applyFill="1" applyBorder="1" applyAlignment="1" applyProtection="1">
      <alignment horizontal="center"/>
    </xf>
    <xf numFmtId="170" fontId="0" fillId="0" borderId="51" xfId="0" applyNumberFormat="1" applyFont="1" applyFill="1" applyBorder="1" applyAlignment="1" applyProtection="1">
      <alignment horizontal="center"/>
      <protection locked="0"/>
    </xf>
    <xf numFmtId="170" fontId="0" fillId="0" borderId="63" xfId="0" applyNumberFormat="1" applyFont="1" applyFill="1" applyBorder="1" applyAlignment="1" applyProtection="1">
      <alignment horizontal="center"/>
      <protection locked="0"/>
    </xf>
    <xf numFmtId="0" fontId="40" fillId="0" borderId="73" xfId="0" applyFont="1" applyBorder="1" applyAlignment="1" applyProtection="1">
      <alignment horizontal="right"/>
      <protection hidden="1"/>
    </xf>
    <xf numFmtId="0" fontId="40" fillId="0" borderId="73" xfId="0" applyFont="1" applyBorder="1" applyAlignment="1" applyProtection="1">
      <alignment horizontal="center"/>
      <protection hidden="1"/>
    </xf>
    <xf numFmtId="0" fontId="41" fillId="0" borderId="72" xfId="0" applyFont="1" applyBorder="1" applyAlignment="1" applyProtection="1">
      <alignment horizontal="center" wrapText="1"/>
      <protection hidden="1"/>
    </xf>
    <xf numFmtId="166" fontId="40" fillId="0" borderId="73" xfId="0" applyNumberFormat="1" applyFont="1" applyBorder="1" applyAlignment="1" applyProtection="1">
      <alignment horizontal="right"/>
      <protection hidden="1"/>
    </xf>
    <xf numFmtId="0" fontId="41" fillId="0" borderId="72" xfId="0" applyFont="1" applyBorder="1" applyAlignment="1" applyProtection="1">
      <alignment horizontal="center"/>
      <protection hidden="1"/>
    </xf>
    <xf numFmtId="166" fontId="40" fillId="0" borderId="73" xfId="0" applyNumberFormat="1" applyFont="1" applyBorder="1" applyAlignment="1" applyProtection="1">
      <alignment horizontal="right" vertical="center"/>
      <protection hidden="1"/>
    </xf>
    <xf numFmtId="166" fontId="40" fillId="0" borderId="75" xfId="0" applyNumberFormat="1" applyFont="1" applyBorder="1" applyAlignment="1" applyProtection="1">
      <alignment horizontal="right"/>
      <protection hidden="1"/>
    </xf>
    <xf numFmtId="166" fontId="40" fillId="0" borderId="74" xfId="0" applyNumberFormat="1" applyFont="1" applyBorder="1" applyAlignment="1" applyProtection="1">
      <alignment horizontal="right"/>
      <protection hidden="1"/>
    </xf>
    <xf numFmtId="0" fontId="40" fillId="0" borderId="74" xfId="0" applyFont="1" applyBorder="1" applyAlignment="1" applyProtection="1">
      <alignment horizontal="right"/>
      <protection hidden="1"/>
    </xf>
    <xf numFmtId="0" fontId="55" fillId="0" borderId="75" xfId="0" applyFont="1" applyBorder="1" applyAlignment="1" applyProtection="1">
      <alignment horizontal="center" vertical="center"/>
      <protection hidden="1"/>
    </xf>
    <xf numFmtId="0" fontId="56" fillId="0" borderId="75" xfId="0" applyFont="1" applyBorder="1" applyAlignment="1" applyProtection="1">
      <alignment horizontal="center" vertical="center"/>
      <protection hidden="1"/>
    </xf>
    <xf numFmtId="0" fontId="45" fillId="0" borderId="0" xfId="0" applyFont="1" applyBorder="1" applyAlignment="1" applyProtection="1">
      <alignment horizontal="center" vertical="center" wrapText="1"/>
      <protection hidden="1"/>
    </xf>
    <xf numFmtId="0" fontId="45" fillId="0" borderId="72" xfId="0" applyFont="1" applyBorder="1" applyAlignment="1" applyProtection="1">
      <alignment horizontal="center" vertical="center" wrapText="1"/>
      <protection hidden="1"/>
    </xf>
    <xf numFmtId="0" fontId="26" fillId="0" borderId="0" xfId="0" applyFont="1" applyBorder="1" applyAlignment="1" applyProtection="1">
      <alignment horizontal="center"/>
      <protection hidden="1"/>
    </xf>
    <xf numFmtId="2" fontId="29" fillId="0" borderId="13" xfId="0" applyNumberFormat="1" applyFont="1" applyFill="1" applyBorder="1" applyAlignment="1" applyProtection="1">
      <alignment horizontal="center" vertical="center"/>
      <protection hidden="1"/>
    </xf>
    <xf numFmtId="2" fontId="29" fillId="0" borderId="14" xfId="0" applyNumberFormat="1" applyFont="1" applyFill="1" applyBorder="1" applyAlignment="1" applyProtection="1">
      <alignment horizontal="center" vertical="center"/>
      <protection hidden="1"/>
    </xf>
    <xf numFmtId="2" fontId="29" fillId="0" borderId="15" xfId="0" applyNumberFormat="1" applyFont="1" applyFill="1" applyBorder="1" applyAlignment="1" applyProtection="1">
      <alignment horizontal="center" vertical="center"/>
      <protection hidden="1"/>
    </xf>
    <xf numFmtId="0" fontId="29" fillId="0" borderId="13" xfId="0" applyFont="1" applyFill="1" applyBorder="1" applyAlignment="1" applyProtection="1">
      <alignment horizontal="right" vertical="center"/>
      <protection hidden="1"/>
    </xf>
    <xf numFmtId="0" fontId="29" fillId="0" borderId="14" xfId="0" applyFont="1" applyFill="1" applyBorder="1" applyAlignment="1" applyProtection="1">
      <alignment horizontal="right" vertical="center"/>
      <protection hidden="1"/>
    </xf>
    <xf numFmtId="0" fontId="29" fillId="0" borderId="14" xfId="0" applyFont="1" applyFill="1" applyBorder="1" applyAlignment="1" applyProtection="1">
      <alignment horizontal="left" vertical="center"/>
      <protection hidden="1"/>
    </xf>
    <xf numFmtId="0" fontId="29" fillId="0" borderId="15" xfId="0" applyFont="1" applyFill="1" applyBorder="1" applyAlignment="1" applyProtection="1">
      <alignment horizontal="left" vertical="center"/>
      <protection hidden="1"/>
    </xf>
    <xf numFmtId="0" fontId="36" fillId="0" borderId="0" xfId="0" applyFont="1" applyFill="1" applyBorder="1" applyAlignment="1" applyProtection="1">
      <alignment horizontal="center"/>
      <protection hidden="1"/>
    </xf>
    <xf numFmtId="0" fontId="34" fillId="0" borderId="0" xfId="0" applyFont="1" applyFill="1" applyBorder="1" applyAlignment="1" applyProtection="1">
      <alignment horizontal="center"/>
      <protection locked="0" hidden="1"/>
    </xf>
    <xf numFmtId="0" fontId="40" fillId="0" borderId="14" xfId="0" applyFont="1" applyFill="1" applyBorder="1" applyAlignment="1" applyProtection="1">
      <alignment horizontal="center" vertical="center" wrapText="1"/>
      <protection hidden="1"/>
    </xf>
    <xf numFmtId="0" fontId="40" fillId="0" borderId="15" xfId="0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Fill="1" applyBorder="1" applyAlignment="1" applyProtection="1">
      <alignment horizontal="left" indent="1"/>
      <protection hidden="1"/>
    </xf>
    <xf numFmtId="175" fontId="38" fillId="0" borderId="13" xfId="0" applyNumberFormat="1" applyFont="1" applyFill="1" applyBorder="1" applyAlignment="1" applyProtection="1">
      <alignment horizontal="center" vertical="center"/>
      <protection locked="0" hidden="1"/>
    </xf>
    <xf numFmtId="175" fontId="38" fillId="0" borderId="14" xfId="0" applyNumberFormat="1" applyFont="1" applyFill="1" applyBorder="1" applyAlignment="1" applyProtection="1">
      <alignment horizontal="center" vertical="center"/>
      <protection locked="0" hidden="1"/>
    </xf>
    <xf numFmtId="175" fontId="38" fillId="0" borderId="15" xfId="0" applyNumberFormat="1" applyFont="1" applyFill="1" applyBorder="1" applyAlignment="1" applyProtection="1">
      <alignment horizontal="center" vertical="center"/>
      <protection locked="0" hidden="1"/>
    </xf>
    <xf numFmtId="0" fontId="50" fillId="0" borderId="0" xfId="0" applyFont="1" applyBorder="1" applyAlignment="1" applyProtection="1">
      <alignment horizontal="center" vertical="center"/>
      <protection hidden="1"/>
    </xf>
    <xf numFmtId="0" fontId="23" fillId="0" borderId="0" xfId="1" applyBorder="1" applyAlignment="1" applyProtection="1">
      <alignment horizontal="center" wrapText="1"/>
      <protection hidden="1"/>
    </xf>
    <xf numFmtId="0" fontId="28" fillId="0" borderId="0" xfId="0" applyFont="1" applyBorder="1" applyAlignment="1" applyProtection="1">
      <alignment horizontal="center"/>
      <protection hidden="1"/>
    </xf>
    <xf numFmtId="0" fontId="53" fillId="0" borderId="47" xfId="0" applyFont="1" applyBorder="1" applyAlignment="1" applyProtection="1">
      <alignment horizontal="center" vertical="center"/>
      <protection hidden="1"/>
    </xf>
    <xf numFmtId="0" fontId="23" fillId="0" borderId="57" xfId="1" applyBorder="1" applyAlignment="1" applyProtection="1">
      <alignment horizontal="center"/>
      <protection locked="0" hidden="1"/>
    </xf>
    <xf numFmtId="0" fontId="24" fillId="0" borderId="57" xfId="0" applyFont="1" applyBorder="1" applyAlignment="1" applyProtection="1">
      <alignment horizontal="center" vertical="center"/>
      <protection hidden="1"/>
    </xf>
    <xf numFmtId="0" fontId="58" fillId="0" borderId="57" xfId="0" applyFont="1" applyBorder="1" applyAlignment="1" applyProtection="1">
      <alignment horizontal="center" vertical="center"/>
      <protection hidden="1"/>
    </xf>
    <xf numFmtId="0" fontId="28" fillId="0" borderId="0" xfId="0" applyFont="1" applyBorder="1" applyAlignment="1" applyProtection="1">
      <alignment horizontal="center" vertical="center"/>
      <protection hidden="1"/>
    </xf>
    <xf numFmtId="0" fontId="26" fillId="0" borderId="14" xfId="0" applyFont="1" applyFill="1" applyBorder="1" applyAlignment="1" applyProtection="1">
      <alignment horizontal="center" vertical="center"/>
      <protection hidden="1"/>
    </xf>
    <xf numFmtId="0" fontId="47" fillId="4" borderId="70" xfId="0" applyFont="1" applyFill="1" applyBorder="1" applyAlignment="1" applyProtection="1">
      <alignment horizontal="left" vertical="center" wrapText="1"/>
      <protection hidden="1"/>
    </xf>
    <xf numFmtId="173" fontId="28" fillId="0" borderId="47" xfId="0" applyNumberFormat="1" applyFont="1" applyBorder="1" applyAlignment="1" applyProtection="1">
      <alignment horizontal="center"/>
      <protection hidden="1"/>
    </xf>
    <xf numFmtId="0" fontId="29" fillId="0" borderId="13" xfId="0" applyFont="1" applyFill="1" applyBorder="1" applyAlignment="1" applyProtection="1">
      <alignment horizontal="center" vertical="center"/>
      <protection locked="0" hidden="1"/>
    </xf>
    <xf numFmtId="0" fontId="29" fillId="0" borderId="14" xfId="0" applyFont="1" applyFill="1" applyBorder="1" applyAlignment="1" applyProtection="1">
      <alignment horizontal="center" vertical="center"/>
      <protection locked="0" hidden="1"/>
    </xf>
    <xf numFmtId="0" fontId="29" fillId="0" borderId="15" xfId="0" applyFont="1" applyFill="1" applyBorder="1" applyAlignment="1" applyProtection="1">
      <alignment horizontal="center" vertical="center"/>
      <protection locked="0" hidden="1"/>
    </xf>
    <xf numFmtId="0" fontId="26" fillId="0" borderId="15" xfId="0" applyFont="1" applyFill="1" applyBorder="1" applyAlignment="1" applyProtection="1">
      <alignment horizontal="center" vertical="center"/>
      <protection hidden="1"/>
    </xf>
    <xf numFmtId="0" fontId="27" fillId="0" borderId="14" xfId="0" applyFont="1" applyFill="1" applyBorder="1" applyAlignment="1" applyProtection="1">
      <alignment horizontal="center"/>
      <protection hidden="1"/>
    </xf>
    <xf numFmtId="0" fontId="42" fillId="0" borderId="13" xfId="0" applyFont="1" applyFill="1" applyBorder="1" applyAlignment="1" applyProtection="1">
      <alignment horizontal="right" vertical="center"/>
      <protection hidden="1"/>
    </xf>
    <xf numFmtId="0" fontId="42" fillId="0" borderId="14" xfId="0" applyFont="1" applyFill="1" applyBorder="1" applyAlignment="1" applyProtection="1">
      <alignment horizontal="right" vertical="center"/>
      <protection hidden="1"/>
    </xf>
    <xf numFmtId="0" fontId="43" fillId="0" borderId="14" xfId="0" applyFont="1" applyFill="1" applyBorder="1" applyAlignment="1" applyProtection="1">
      <alignment horizontal="left" vertical="center"/>
      <protection locked="0" hidden="1"/>
    </xf>
    <xf numFmtId="0" fontId="43" fillId="0" borderId="15" xfId="0" applyFont="1" applyFill="1" applyBorder="1" applyAlignment="1" applyProtection="1">
      <alignment horizontal="left" vertical="center"/>
      <protection locked="0" hidden="1"/>
    </xf>
    <xf numFmtId="0" fontId="37" fillId="0" borderId="14" xfId="0" applyFont="1" applyFill="1" applyBorder="1" applyAlignment="1" applyProtection="1">
      <alignment horizontal="left" vertical="center"/>
      <protection locked="0" hidden="1"/>
    </xf>
    <xf numFmtId="0" fontId="37" fillId="0" borderId="15" xfId="0" applyFont="1" applyFill="1" applyBorder="1" applyAlignment="1" applyProtection="1">
      <alignment horizontal="left" vertical="center"/>
      <protection locked="0" hidden="1"/>
    </xf>
    <xf numFmtId="0" fontId="34" fillId="0" borderId="13" xfId="0" applyFont="1" applyFill="1" applyBorder="1" applyAlignment="1" applyProtection="1">
      <alignment horizontal="center" vertical="center"/>
      <protection locked="0" hidden="1"/>
    </xf>
    <xf numFmtId="0" fontId="34" fillId="0" borderId="14" xfId="0" applyFont="1" applyFill="1" applyBorder="1" applyAlignment="1" applyProtection="1">
      <alignment horizontal="center" vertical="center"/>
      <protection locked="0" hidden="1"/>
    </xf>
    <xf numFmtId="0" fontId="34" fillId="0" borderId="15" xfId="0" applyFont="1" applyFill="1" applyBorder="1" applyAlignment="1" applyProtection="1">
      <alignment horizontal="center" vertical="center"/>
      <protection locked="0" hidden="1"/>
    </xf>
    <xf numFmtId="172" fontId="29" fillId="0" borderId="13" xfId="0" applyNumberFormat="1" applyFont="1" applyFill="1" applyBorder="1" applyAlignment="1" applyProtection="1">
      <alignment horizontal="center" vertical="center"/>
      <protection hidden="1"/>
    </xf>
    <xf numFmtId="172" fontId="29" fillId="0" borderId="14" xfId="0" applyNumberFormat="1" applyFont="1" applyFill="1" applyBorder="1" applyAlignment="1" applyProtection="1">
      <alignment horizontal="center" vertical="center"/>
      <protection hidden="1"/>
    </xf>
    <xf numFmtId="172" fontId="29" fillId="0" borderId="15" xfId="0" applyNumberFormat="1" applyFont="1" applyFill="1" applyBorder="1" applyAlignment="1" applyProtection="1">
      <alignment horizontal="center" vertical="center"/>
      <protection hidden="1"/>
    </xf>
    <xf numFmtId="0" fontId="26" fillId="0" borderId="13" xfId="0" applyFont="1" applyFill="1" applyBorder="1" applyAlignment="1" applyProtection="1">
      <alignment horizontal="center" vertical="center" wrapText="1"/>
      <protection locked="0" hidden="1"/>
    </xf>
    <xf numFmtId="0" fontId="26" fillId="0" borderId="14" xfId="0" applyFont="1" applyFill="1" applyBorder="1" applyAlignment="1" applyProtection="1">
      <alignment horizontal="center" vertical="center" wrapText="1"/>
      <protection locked="0" hidden="1"/>
    </xf>
    <xf numFmtId="0" fontId="26" fillId="0" borderId="15" xfId="0" applyFont="1" applyFill="1" applyBorder="1" applyAlignment="1" applyProtection="1">
      <alignment horizontal="center" vertical="center" wrapText="1"/>
      <protection locked="0" hidden="1"/>
    </xf>
    <xf numFmtId="0" fontId="30" fillId="0" borderId="14" xfId="0" applyFont="1" applyFill="1" applyBorder="1" applyAlignment="1" applyProtection="1">
      <alignment horizontal="center" vertical="center"/>
      <protection hidden="1"/>
    </xf>
    <xf numFmtId="0" fontId="31" fillId="0" borderId="0" xfId="0" applyFont="1" applyFill="1" applyBorder="1" applyAlignment="1" applyProtection="1">
      <alignment horizontal="center"/>
      <protection hidden="1"/>
    </xf>
    <xf numFmtId="0" fontId="57" fillId="0" borderId="47" xfId="0" applyFont="1" applyBorder="1" applyAlignment="1" applyProtection="1">
      <alignment horizontal="center" vertical="center" wrapText="1"/>
      <protection hidden="1"/>
    </xf>
    <xf numFmtId="0" fontId="49" fillId="5" borderId="70" xfId="0" applyFont="1" applyFill="1" applyBorder="1" applyAlignment="1" applyProtection="1">
      <alignment horizontal="left" vertical="top"/>
      <protection hidden="1"/>
    </xf>
    <xf numFmtId="0" fontId="37" fillId="0" borderId="13" xfId="0" applyFont="1" applyFill="1" applyBorder="1" applyAlignment="1" applyProtection="1">
      <alignment horizontal="center" vertical="center"/>
      <protection locked="0" hidden="1"/>
    </xf>
    <xf numFmtId="0" fontId="37" fillId="0" borderId="14" xfId="0" applyFont="1" applyFill="1" applyBorder="1" applyAlignment="1" applyProtection="1">
      <alignment horizontal="center" vertical="center"/>
      <protection locked="0" hidden="1"/>
    </xf>
    <xf numFmtId="0" fontId="37" fillId="0" borderId="15" xfId="0" applyFont="1" applyFill="1" applyBorder="1" applyAlignment="1" applyProtection="1">
      <alignment horizontal="center" vertical="center"/>
      <protection locked="0" hidden="1"/>
    </xf>
    <xf numFmtId="0" fontId="35" fillId="0" borderId="0" xfId="0" applyFont="1" applyAlignment="1">
      <alignment horizontal="center"/>
    </xf>
    <xf numFmtId="0" fontId="5" fillId="0" borderId="13" xfId="0" applyFont="1" applyFill="1" applyBorder="1" applyAlignment="1" applyProtection="1">
      <alignment horizontal="center"/>
      <protection locked="0"/>
    </xf>
    <xf numFmtId="0" fontId="5" fillId="0" borderId="14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7" fillId="0" borderId="16" xfId="0" applyFont="1" applyFill="1" applyBorder="1" applyAlignment="1" applyProtection="1">
      <alignment horizontal="center"/>
      <protection locked="0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/>
      <protection locked="0"/>
    </xf>
    <xf numFmtId="0" fontId="8" fillId="0" borderId="19" xfId="0" applyFont="1" applyFill="1" applyBorder="1" applyAlignment="1" applyProtection="1">
      <alignment horizontal="center" wrapText="1"/>
      <protection locked="0"/>
    </xf>
    <xf numFmtId="0" fontId="3" fillId="0" borderId="23" xfId="0" applyFont="1" applyFill="1" applyBorder="1"/>
    <xf numFmtId="0" fontId="3" fillId="0" borderId="24" xfId="0" applyFont="1" applyFill="1" applyBorder="1"/>
    <xf numFmtId="0" fontId="8" fillId="0" borderId="19" xfId="0" applyFont="1" applyFill="1" applyBorder="1" applyAlignment="1" applyProtection="1">
      <alignment horizontal="center"/>
      <protection locked="0"/>
    </xf>
    <xf numFmtId="49" fontId="8" fillId="0" borderId="19" xfId="0" applyNumberFormat="1" applyFont="1" applyFill="1" applyBorder="1" applyAlignment="1" applyProtection="1">
      <alignment horizontal="center"/>
      <protection locked="0"/>
    </xf>
    <xf numFmtId="166" fontId="0" fillId="0" borderId="20" xfId="0" applyNumberFormat="1" applyFill="1" applyBorder="1" applyAlignment="1" applyProtection="1">
      <alignment horizontal="center" wrapText="1"/>
      <protection locked="0"/>
    </xf>
    <xf numFmtId="0" fontId="0" fillId="0" borderId="21" xfId="0" applyFont="1" applyFill="1" applyBorder="1"/>
    <xf numFmtId="0" fontId="0" fillId="0" borderId="7" xfId="0" applyFont="1" applyFill="1" applyBorder="1"/>
    <xf numFmtId="0" fontId="0" fillId="0" borderId="9" xfId="0" applyFont="1" applyFill="1" applyBorder="1"/>
    <xf numFmtId="0" fontId="0" fillId="0" borderId="22" xfId="0" applyFont="1" applyFill="1" applyBorder="1" applyAlignment="1" applyProtection="1">
      <alignment horizontal="center" wrapText="1"/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0" fontId="0" fillId="0" borderId="20" xfId="0" applyFont="1" applyFill="1" applyBorder="1" applyAlignment="1" applyProtection="1">
      <alignment horizontal="center"/>
      <protection locked="0"/>
    </xf>
    <xf numFmtId="0" fontId="12" fillId="0" borderId="20" xfId="0" applyFont="1" applyFill="1" applyBorder="1" applyAlignment="1" applyProtection="1">
      <alignment horizontal="center"/>
      <protection locked="0"/>
    </xf>
    <xf numFmtId="0" fontId="12" fillId="0" borderId="21" xfId="0" applyFont="1" applyFill="1" applyBorder="1"/>
    <xf numFmtId="0" fontId="11" fillId="0" borderId="0" xfId="0" applyFont="1" applyFill="1" applyBorder="1" applyAlignment="1" applyProtection="1">
      <alignment horizontal="center"/>
      <protection locked="0"/>
    </xf>
    <xf numFmtId="0" fontId="10" fillId="0" borderId="23" xfId="0" applyFont="1" applyFill="1" applyBorder="1"/>
    <xf numFmtId="0" fontId="10" fillId="0" borderId="24" xfId="0" applyFont="1" applyFill="1" applyBorder="1"/>
    <xf numFmtId="166" fontId="12" fillId="0" borderId="20" xfId="0" applyNumberFormat="1" applyFont="1" applyFill="1" applyBorder="1" applyAlignment="1" applyProtection="1">
      <alignment horizontal="center" wrapText="1"/>
      <protection locked="0"/>
    </xf>
    <xf numFmtId="0" fontId="12" fillId="0" borderId="7" xfId="0" applyFont="1" applyFill="1" applyBorder="1"/>
    <xf numFmtId="0" fontId="12" fillId="0" borderId="9" xfId="0" applyFont="1" applyFill="1" applyBorder="1"/>
    <xf numFmtId="0" fontId="12" fillId="0" borderId="22" xfId="0" applyFont="1" applyFill="1" applyBorder="1" applyAlignment="1" applyProtection="1">
      <alignment horizontal="center" wrapText="1"/>
      <protection locked="0"/>
    </xf>
    <xf numFmtId="0" fontId="12" fillId="0" borderId="2" xfId="0" applyFont="1" applyFill="1" applyBorder="1"/>
    <xf numFmtId="0" fontId="12" fillId="0" borderId="3" xfId="0" applyFont="1" applyFill="1" applyBorder="1"/>
    <xf numFmtId="0" fontId="7" fillId="0" borderId="0" xfId="0" applyFont="1" applyFill="1" applyBorder="1" applyAlignment="1" applyProtection="1">
      <alignment horizontal="center"/>
      <protection locked="0"/>
    </xf>
    <xf numFmtId="166" fontId="0" fillId="0" borderId="28" xfId="0" applyNumberFormat="1" applyFill="1" applyBorder="1" applyAlignment="1" applyProtection="1">
      <alignment horizontal="center" wrapText="1"/>
      <protection locked="0"/>
    </xf>
    <xf numFmtId="0" fontId="0" fillId="0" borderId="42" xfId="0" applyFont="1" applyFill="1" applyBorder="1"/>
    <xf numFmtId="0" fontId="0" fillId="0" borderId="15" xfId="0" applyFont="1" applyFill="1" applyBorder="1"/>
    <xf numFmtId="0" fontId="0" fillId="0" borderId="13" xfId="0" applyFont="1" applyFill="1" applyBorder="1"/>
    <xf numFmtId="0" fontId="0" fillId="0" borderId="43" xfId="0" applyFont="1" applyFill="1" applyBorder="1" applyAlignment="1" applyProtection="1">
      <alignment horizontal="center" wrapText="1"/>
      <protection locked="0"/>
    </xf>
    <xf numFmtId="0" fontId="0" fillId="0" borderId="44" xfId="0" applyFont="1" applyFill="1" applyBorder="1" applyAlignment="1" applyProtection="1">
      <alignment horizontal="center" wrapText="1"/>
      <protection locked="0"/>
    </xf>
    <xf numFmtId="0" fontId="0" fillId="0" borderId="27" xfId="0" applyFont="1" applyFill="1" applyBorder="1"/>
    <xf numFmtId="0" fontId="0" fillId="0" borderId="28" xfId="0" applyFont="1" applyFill="1" applyBorder="1" applyAlignment="1" applyProtection="1">
      <alignment horizontal="center"/>
      <protection locked="0"/>
    </xf>
    <xf numFmtId="3" fontId="5" fillId="0" borderId="48" xfId="0" applyNumberFormat="1" applyFont="1" applyFill="1" applyBorder="1" applyAlignment="1">
      <alignment horizontal="center"/>
    </xf>
    <xf numFmtId="3" fontId="5" fillId="0" borderId="50" xfId="0" applyNumberFormat="1" applyFont="1" applyFill="1" applyBorder="1" applyAlignment="1">
      <alignment horizontal="center"/>
    </xf>
    <xf numFmtId="3" fontId="16" fillId="0" borderId="16" xfId="0" applyNumberFormat="1" applyFont="1" applyFill="1" applyBorder="1" applyAlignment="1">
      <alignment horizontal="center"/>
    </xf>
    <xf numFmtId="3" fontId="16" fillId="0" borderId="17" xfId="0" applyNumberFormat="1" applyFont="1" applyFill="1" applyBorder="1" applyAlignment="1">
      <alignment horizontal="center"/>
    </xf>
    <xf numFmtId="3" fontId="16" fillId="0" borderId="18" xfId="0" applyNumberFormat="1" applyFont="1" applyFill="1" applyBorder="1" applyAlignment="1">
      <alignment horizontal="center"/>
    </xf>
    <xf numFmtId="0" fontId="17" fillId="0" borderId="29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30" xfId="0" applyFont="1" applyFill="1" applyBorder="1" applyAlignment="1" applyProtection="1">
      <alignment horizontal="center" vertical="center" wrapText="1"/>
      <protection locked="0"/>
    </xf>
    <xf numFmtId="0" fontId="17" fillId="0" borderId="53" xfId="0" applyFont="1" applyFill="1" applyBorder="1" applyAlignment="1" applyProtection="1">
      <alignment horizontal="center" vertical="center" wrapText="1"/>
      <protection locked="0"/>
    </xf>
    <xf numFmtId="0" fontId="17" fillId="0" borderId="54" xfId="0" applyFont="1" applyFill="1" applyBorder="1" applyAlignment="1" applyProtection="1">
      <alignment horizontal="center" vertical="center" wrapText="1"/>
      <protection locked="0"/>
    </xf>
    <xf numFmtId="0" fontId="17" fillId="0" borderId="55" xfId="0" applyFont="1" applyFill="1" applyBorder="1" applyAlignment="1" applyProtection="1">
      <alignment horizontal="center" vertical="center" wrapText="1"/>
      <protection locked="0"/>
    </xf>
    <xf numFmtId="167" fontId="4" fillId="0" borderId="51" xfId="0" applyNumberFormat="1" applyFont="1" applyFill="1" applyBorder="1" applyAlignment="1" applyProtection="1">
      <alignment horizontal="center" vertical="center"/>
    </xf>
    <xf numFmtId="167" fontId="4" fillId="0" borderId="45" xfId="0" applyNumberFormat="1" applyFont="1" applyFill="1" applyBorder="1" applyAlignment="1" applyProtection="1">
      <alignment horizontal="center" vertical="center"/>
    </xf>
    <xf numFmtId="167" fontId="4" fillId="0" borderId="52" xfId="0" applyNumberFormat="1" applyFont="1" applyFill="1" applyBorder="1" applyAlignment="1" applyProtection="1">
      <alignment horizontal="center" vertical="center"/>
    </xf>
    <xf numFmtId="167" fontId="4" fillId="0" borderId="39" xfId="0" applyNumberFormat="1" applyFont="1" applyFill="1" applyBorder="1" applyAlignment="1" applyProtection="1">
      <alignment horizontal="center" vertical="center"/>
    </xf>
    <xf numFmtId="167" fontId="4" fillId="0" borderId="35" xfId="0" applyNumberFormat="1" applyFont="1" applyFill="1" applyBorder="1" applyAlignment="1" applyProtection="1">
      <alignment horizontal="center" vertical="center"/>
    </xf>
    <xf numFmtId="167" fontId="4" fillId="0" borderId="26" xfId="0" applyNumberFormat="1" applyFont="1" applyFill="1" applyBorder="1" applyAlignment="1" applyProtection="1">
      <alignment horizontal="center" vertical="center"/>
    </xf>
    <xf numFmtId="3" fontId="5" fillId="0" borderId="17" xfId="0" applyNumberFormat="1" applyFont="1" applyFill="1" applyBorder="1" applyAlignment="1">
      <alignment horizontal="center"/>
    </xf>
    <xf numFmtId="3" fontId="5" fillId="0" borderId="18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 wrapText="1"/>
    </xf>
    <xf numFmtId="168" fontId="3" fillId="0" borderId="0" xfId="0" applyNumberFormat="1" applyFont="1" applyFill="1" applyBorder="1" applyAlignment="1">
      <alignment horizontal="center" wrapText="1"/>
    </xf>
    <xf numFmtId="0" fontId="3" fillId="0" borderId="0" xfId="0" applyFont="1" applyBorder="1"/>
    <xf numFmtId="167" fontId="4" fillId="0" borderId="0" xfId="0" applyNumberFormat="1" applyFont="1" applyFill="1" applyBorder="1" applyAlignment="1" applyProtection="1">
      <alignment horizontal="center" vertical="center"/>
    </xf>
    <xf numFmtId="167" fontId="4" fillId="0" borderId="30" xfId="0" applyNumberFormat="1" applyFont="1" applyFill="1" applyBorder="1" applyAlignment="1" applyProtection="1">
      <alignment horizontal="center" vertical="center"/>
    </xf>
    <xf numFmtId="168" fontId="3" fillId="0" borderId="54" xfId="0" applyNumberFormat="1" applyFont="1" applyFill="1" applyBorder="1" applyAlignment="1">
      <alignment horizontal="center" wrapText="1"/>
    </xf>
    <xf numFmtId="168" fontId="3" fillId="0" borderId="55" xfId="0" applyNumberFormat="1" applyFont="1" applyFill="1" applyBorder="1" applyAlignment="1">
      <alignment horizontal="center" wrapText="1"/>
    </xf>
    <xf numFmtId="0" fontId="4" fillId="0" borderId="37" xfId="0" applyFont="1" applyFill="1" applyBorder="1" applyAlignment="1">
      <alignment horizontal="left"/>
    </xf>
    <xf numFmtId="0" fontId="4" fillId="0" borderId="57" xfId="0" applyFont="1" applyFill="1" applyBorder="1" applyAlignment="1">
      <alignment horizontal="left"/>
    </xf>
    <xf numFmtId="0" fontId="4" fillId="0" borderId="36" xfId="0" applyFont="1" applyFill="1" applyBorder="1" applyAlignment="1">
      <alignment horizontal="left"/>
    </xf>
    <xf numFmtId="0" fontId="5" fillId="0" borderId="0" xfId="0" applyFont="1" applyFill="1" applyAlignment="1" applyProtection="1">
      <alignment horizontal="center"/>
      <protection locked="0"/>
    </xf>
    <xf numFmtId="3" fontId="5" fillId="0" borderId="49" xfId="0" applyNumberFormat="1" applyFont="1" applyFill="1" applyBorder="1" applyAlignment="1">
      <alignment horizontal="center"/>
    </xf>
    <xf numFmtId="0" fontId="0" fillId="0" borderId="2" xfId="0" applyFont="1" applyFill="1" applyBorder="1" applyAlignment="1" applyProtection="1">
      <alignment horizontal="center"/>
      <protection locked="0"/>
    </xf>
    <xf numFmtId="0" fontId="4" fillId="0" borderId="27" xfId="0" applyFont="1" applyFill="1" applyBorder="1" applyAlignment="1">
      <alignment horizontal="left"/>
    </xf>
    <xf numFmtId="0" fontId="4" fillId="0" borderId="56" xfId="0" applyFont="1" applyFill="1" applyBorder="1" applyAlignment="1">
      <alignment horizontal="left"/>
    </xf>
    <xf numFmtId="0" fontId="4" fillId="0" borderId="28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5" fillId="0" borderId="49" xfId="0" applyFont="1" applyFill="1" applyBorder="1" applyAlignment="1" applyProtection="1">
      <alignment horizontal="center" vertical="center"/>
      <protection locked="0"/>
    </xf>
    <xf numFmtId="0" fontId="5" fillId="0" borderId="48" xfId="0" applyFont="1" applyFill="1" applyBorder="1" applyAlignment="1" applyProtection="1">
      <alignment horizontal="center" vertical="center"/>
      <protection locked="0"/>
    </xf>
    <xf numFmtId="0" fontId="5" fillId="0" borderId="50" xfId="0" applyFont="1" applyFill="1" applyBorder="1" applyAlignment="1" applyProtection="1">
      <alignment horizontal="center" vertical="center"/>
      <protection locked="0"/>
    </xf>
    <xf numFmtId="0" fontId="0" fillId="0" borderId="46" xfId="0" applyFont="1" applyFill="1" applyBorder="1" applyAlignment="1" applyProtection="1">
      <alignment horizontal="center"/>
      <protection locked="0"/>
    </xf>
    <xf numFmtId="0" fontId="0" fillId="0" borderId="48" xfId="0" applyFont="1" applyFill="1" applyBorder="1" applyAlignment="1" applyProtection="1">
      <alignment horizontal="center"/>
      <protection locked="0"/>
    </xf>
    <xf numFmtId="0" fontId="0" fillId="0" borderId="22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 applyProtection="1">
      <alignment horizontal="center"/>
      <protection locked="0"/>
    </xf>
    <xf numFmtId="0" fontId="19" fillId="0" borderId="17" xfId="0" applyFont="1" applyFill="1" applyBorder="1" applyAlignment="1" applyProtection="1">
      <alignment horizontal="center"/>
      <protection locked="0"/>
    </xf>
    <xf numFmtId="0" fontId="19" fillId="0" borderId="18" xfId="0" applyFont="1" applyFill="1" applyBorder="1" applyAlignment="1" applyProtection="1">
      <alignment horizontal="center"/>
      <protection locked="0"/>
    </xf>
    <xf numFmtId="0" fontId="20" fillId="0" borderId="29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20" fillId="0" borderId="30" xfId="0" applyFont="1" applyFill="1" applyBorder="1" applyAlignment="1" applyProtection="1">
      <alignment horizontal="center" vertical="center" wrapText="1"/>
      <protection locked="0"/>
    </xf>
    <xf numFmtId="0" fontId="20" fillId="0" borderId="53" xfId="0" applyFont="1" applyFill="1" applyBorder="1" applyAlignment="1" applyProtection="1">
      <alignment horizontal="center" vertical="center" wrapText="1"/>
      <protection locked="0"/>
    </xf>
    <xf numFmtId="0" fontId="20" fillId="0" borderId="54" xfId="0" applyFont="1" applyFill="1" applyBorder="1" applyAlignment="1" applyProtection="1">
      <alignment horizontal="center" vertical="center" wrapText="1"/>
      <protection locked="0"/>
    </xf>
    <xf numFmtId="0" fontId="20" fillId="0" borderId="55" xfId="0" applyFont="1" applyFill="1" applyBorder="1" applyAlignment="1" applyProtection="1">
      <alignment horizontal="center" vertical="center" wrapText="1"/>
      <protection locked="0"/>
    </xf>
    <xf numFmtId="0" fontId="0" fillId="0" borderId="43" xfId="0" applyFont="1" applyFill="1" applyBorder="1" applyAlignment="1" applyProtection="1">
      <alignment horizontal="center"/>
      <protection locked="0"/>
    </xf>
    <xf numFmtId="0" fontId="0" fillId="0" borderId="59" xfId="0" applyFill="1" applyBorder="1" applyAlignment="1" applyProtection="1">
      <alignment horizontal="center" vertical="center" wrapText="1"/>
      <protection locked="0"/>
    </xf>
    <xf numFmtId="0" fontId="0" fillId="0" borderId="60" xfId="0" applyFill="1" applyBorder="1" applyAlignment="1" applyProtection="1">
      <alignment horizontal="center" vertical="center" wrapText="1"/>
      <protection locked="0"/>
    </xf>
    <xf numFmtId="0" fontId="0" fillId="0" borderId="18" xfId="0" applyFill="1" applyBorder="1" applyAlignment="1" applyProtection="1">
      <alignment horizontal="center" vertical="center" wrapText="1"/>
      <protection locked="0"/>
    </xf>
    <xf numFmtId="0" fontId="4" fillId="0" borderId="42" xfId="0" applyFont="1" applyFill="1" applyBorder="1" applyAlignment="1" applyProtection="1">
      <alignment horizontal="left"/>
      <protection locked="0"/>
    </xf>
    <xf numFmtId="169" fontId="4" fillId="0" borderId="27" xfId="0" applyNumberFormat="1" applyFont="1" applyFill="1" applyBorder="1" applyAlignment="1">
      <alignment horizontal="center"/>
    </xf>
    <xf numFmtId="169" fontId="4" fillId="0" borderId="28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 applyProtection="1">
      <alignment horizontal="center"/>
    </xf>
    <xf numFmtId="167" fontId="4" fillId="0" borderId="61" xfId="0" applyNumberFormat="1" applyFont="1" applyFill="1" applyBorder="1" applyAlignment="1" applyProtection="1">
      <alignment horizontal="center"/>
    </xf>
    <xf numFmtId="0" fontId="4" fillId="0" borderId="5" xfId="0" applyFont="1" applyFill="1" applyBorder="1" applyAlignment="1">
      <alignment horizontal="left"/>
    </xf>
    <xf numFmtId="169" fontId="4" fillId="0" borderId="32" xfId="0" applyNumberFormat="1" applyFont="1" applyFill="1" applyBorder="1" applyAlignment="1">
      <alignment horizontal="center"/>
    </xf>
    <xf numFmtId="169" fontId="4" fillId="0" borderId="31" xfId="0" applyNumberFormat="1" applyFont="1" applyFill="1" applyBorder="1" applyAlignment="1">
      <alignment horizontal="center"/>
    </xf>
    <xf numFmtId="167" fontId="4" fillId="0" borderId="32" xfId="0" applyNumberFormat="1" applyFont="1" applyFill="1" applyBorder="1" applyAlignment="1" applyProtection="1">
      <alignment horizontal="center"/>
    </xf>
    <xf numFmtId="167" fontId="4" fillId="0" borderId="62" xfId="0" applyNumberFormat="1" applyFont="1" applyFill="1" applyBorder="1" applyAlignment="1" applyProtection="1">
      <alignment horizontal="center"/>
    </xf>
    <xf numFmtId="0" fontId="4" fillId="0" borderId="51" xfId="0" applyFont="1" applyFill="1" applyBorder="1" applyAlignment="1">
      <alignment horizontal="left"/>
    </xf>
    <xf numFmtId="169" fontId="4" fillId="0" borderId="37" xfId="0" applyNumberFormat="1" applyFont="1" applyFill="1" applyBorder="1" applyAlignment="1">
      <alignment horizontal="center"/>
    </xf>
    <xf numFmtId="169" fontId="4" fillId="0" borderId="36" xfId="0" applyNumberFormat="1" applyFont="1" applyFill="1" applyBorder="1" applyAlignment="1">
      <alignment horizontal="center"/>
    </xf>
    <xf numFmtId="167" fontId="4" fillId="0" borderId="37" xfId="0" applyNumberFormat="1" applyFont="1" applyFill="1" applyBorder="1" applyAlignment="1" applyProtection="1">
      <alignment horizontal="center"/>
    </xf>
    <xf numFmtId="167" fontId="4" fillId="0" borderId="63" xfId="0" applyNumberFormat="1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left"/>
      <protection locked="0"/>
    </xf>
    <xf numFmtId="169" fontId="4" fillId="0" borderId="8" xfId="0" applyNumberFormat="1" applyFont="1" applyFill="1" applyBorder="1" applyAlignment="1">
      <alignment horizontal="center"/>
    </xf>
    <xf numFmtId="167" fontId="4" fillId="0" borderId="8" xfId="0" applyNumberFormat="1" applyFont="1" applyFill="1" applyBorder="1" applyAlignment="1" applyProtection="1">
      <alignment horizontal="center"/>
    </xf>
    <xf numFmtId="167" fontId="4" fillId="0" borderId="9" xfId="0" applyNumberFormat="1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left"/>
      <protection locked="0"/>
    </xf>
    <xf numFmtId="169" fontId="4" fillId="0" borderId="11" xfId="0" applyNumberFormat="1" applyFont="1" applyFill="1" applyBorder="1" applyAlignment="1">
      <alignment horizontal="center"/>
    </xf>
    <xf numFmtId="167" fontId="4" fillId="0" borderId="11" xfId="0" applyNumberFormat="1" applyFont="1" applyFill="1" applyBorder="1" applyAlignment="1" applyProtection="1">
      <alignment horizontal="center"/>
    </xf>
    <xf numFmtId="167" fontId="4" fillId="0" borderId="12" xfId="0" applyNumberFormat="1" applyFont="1" applyFill="1" applyBorder="1" applyAlignment="1" applyProtection="1">
      <alignment horizontal="center"/>
    </xf>
    <xf numFmtId="0" fontId="5" fillId="0" borderId="49" xfId="0" applyFont="1" applyFill="1" applyBorder="1" applyAlignment="1" applyProtection="1">
      <alignment horizontal="center"/>
      <protection locked="0"/>
    </xf>
    <xf numFmtId="0" fontId="5" fillId="0" borderId="48" xfId="0" applyFont="1" applyFill="1" applyBorder="1" applyAlignment="1" applyProtection="1">
      <alignment horizontal="center"/>
      <protection locked="0"/>
    </xf>
    <xf numFmtId="0" fontId="5" fillId="0" borderId="50" xfId="0" applyFont="1" applyFill="1" applyBorder="1" applyAlignment="1" applyProtection="1">
      <alignment horizontal="center"/>
      <protection locked="0"/>
    </xf>
    <xf numFmtId="0" fontId="4" fillId="0" borderId="46" xfId="0" applyFont="1" applyFill="1" applyBorder="1" applyAlignment="1">
      <alignment horizontal="left"/>
    </xf>
    <xf numFmtId="0" fontId="4" fillId="0" borderId="48" xfId="0" applyFont="1" applyFill="1" applyBorder="1" applyAlignment="1">
      <alignment horizontal="left"/>
    </xf>
    <xf numFmtId="0" fontId="4" fillId="0" borderId="22" xfId="0" applyFont="1" applyFill="1" applyBorder="1" applyAlignment="1">
      <alignment horizontal="left"/>
    </xf>
    <xf numFmtId="0" fontId="21" fillId="0" borderId="0" xfId="0" applyFon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3" fillId="0" borderId="33" xfId="0" applyFont="1" applyFill="1" applyBorder="1"/>
    <xf numFmtId="0" fontId="21" fillId="0" borderId="57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top"/>
      <protection locked="0"/>
    </xf>
    <xf numFmtId="0" fontId="8" fillId="0" borderId="66" xfId="0" applyFont="1" applyFill="1" applyBorder="1" applyAlignment="1" applyProtection="1">
      <alignment horizontal="center" wrapText="1"/>
      <protection locked="0"/>
    </xf>
    <xf numFmtId="0" fontId="8" fillId="0" borderId="67" xfId="0" applyFont="1" applyFill="1" applyBorder="1" applyAlignment="1" applyProtection="1">
      <alignment horizontal="center" wrapText="1"/>
      <protection locked="0"/>
    </xf>
    <xf numFmtId="0" fontId="8" fillId="0" borderId="66" xfId="0" applyFont="1" applyFill="1" applyBorder="1" applyAlignment="1" applyProtection="1">
      <alignment horizontal="center"/>
      <protection locked="0"/>
    </xf>
    <xf numFmtId="0" fontId="8" fillId="0" borderId="67" xfId="0" applyFont="1" applyFill="1" applyBorder="1" applyAlignment="1" applyProtection="1">
      <alignment horizontal="center"/>
      <protection locked="0"/>
    </xf>
    <xf numFmtId="166" fontId="0" fillId="0" borderId="16" xfId="0" applyNumberFormat="1" applyFill="1" applyBorder="1" applyAlignment="1" applyProtection="1">
      <alignment horizontal="center" wrapText="1"/>
      <protection locked="0"/>
    </xf>
    <xf numFmtId="166" fontId="0" fillId="0" borderId="18" xfId="0" applyNumberFormat="1" applyFill="1" applyBorder="1" applyAlignment="1" applyProtection="1">
      <alignment horizontal="center" wrapText="1"/>
      <protection locked="0"/>
    </xf>
    <xf numFmtId="166" fontId="0" fillId="0" borderId="64" xfId="0" applyNumberFormat="1" applyFill="1" applyBorder="1" applyAlignment="1" applyProtection="1">
      <alignment horizontal="center" wrapText="1"/>
      <protection locked="0"/>
    </xf>
    <xf numFmtId="166" fontId="0" fillId="0" borderId="62" xfId="0" applyNumberFormat="1" applyFill="1" applyBorder="1" applyAlignment="1" applyProtection="1">
      <alignment horizontal="center" wrapText="1"/>
      <protection locked="0"/>
    </xf>
  </cellXfs>
  <cellStyles count="2">
    <cellStyle name="Hypertextový odkaz" xfId="1" builtinId="8"/>
    <cellStyle name="Normální" xfId="0" builtinId="0"/>
  </cellStyles>
  <dxfs count="17">
    <dxf>
      <fill>
        <patternFill>
          <bgColor theme="5" tint="0.59996337778862885"/>
        </patternFill>
      </fill>
    </dxf>
    <dxf>
      <fill>
        <patternFill>
          <bgColor rgb="FFF8CBAD"/>
        </patternFill>
      </fill>
    </dxf>
    <dxf>
      <fill>
        <patternFill>
          <bgColor rgb="FFF8CBAD"/>
        </patternFill>
      </fill>
    </dxf>
    <dxf>
      <fill>
        <patternFill>
          <fgColor auto="1"/>
          <bgColor rgb="FFF8CBAD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8CBAD"/>
        </patternFill>
      </fill>
    </dxf>
    <dxf>
      <fill>
        <patternFill>
          <fgColor auto="1"/>
          <bgColor rgb="FFF8CBAD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F8CBAD"/>
      <color rgb="FFF9CBAD"/>
      <color rgb="FFF2922B"/>
      <color rgb="FFFF92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fmlaLink="$A$20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CheckBox" fmlaLink="$A$22" lockText="1" noThreeD="1"/>
</file>

<file path=xl/ctrlProps/ctrlProp14.xml><?xml version="1.0" encoding="utf-8"?>
<formControlPr xmlns="http://schemas.microsoft.com/office/spreadsheetml/2009/9/main" objectType="CheckBox" fmlaLink="$A$18" lockText="1" noThreeD="1"/>
</file>

<file path=xl/ctrlProps/ctrlProp2.xml><?xml version="1.0" encoding="utf-8"?>
<formControlPr xmlns="http://schemas.microsoft.com/office/spreadsheetml/2009/9/main" objectType="Drop" dropStyle="combo" dx="16" fmlaLink="$A$10" fmlaRange="DRUH_KAMENIVA" sel="0" val="0"/>
</file>

<file path=xl/ctrlProps/ctrlProp3.xml><?xml version="1.0" encoding="utf-8"?>
<formControlPr xmlns="http://schemas.microsoft.com/office/spreadsheetml/2009/9/main" objectType="Drop" dropStyle="combo" dx="16" fmlaLink="$A$28" fmlaRange="DRUH_WALL_KAMENIVA" sel="0" val="0"/>
</file>

<file path=xl/ctrlProps/ctrlProp4.xml><?xml version="1.0" encoding="utf-8"?>
<formControlPr xmlns="http://schemas.microsoft.com/office/spreadsheetml/2009/9/main" objectType="Radio" firstButton="1" fmlaLink="$A$12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fmlaLink="$A$30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eg"/><Relationship Id="rId13" Type="http://schemas.openxmlformats.org/officeDocument/2006/relationships/image" Target="../media/image15.jpeg"/><Relationship Id="rId3" Type="http://schemas.openxmlformats.org/officeDocument/2006/relationships/image" Target="../media/image5.jpeg"/><Relationship Id="rId7" Type="http://schemas.openxmlformats.org/officeDocument/2006/relationships/image" Target="../media/image9.jpeg"/><Relationship Id="rId12" Type="http://schemas.openxmlformats.org/officeDocument/2006/relationships/image" Target="../media/image14.jpeg"/><Relationship Id="rId17" Type="http://schemas.openxmlformats.org/officeDocument/2006/relationships/image" Target="../media/image19.jpeg"/><Relationship Id="rId2" Type="http://schemas.openxmlformats.org/officeDocument/2006/relationships/image" Target="../media/image4.jpeg"/><Relationship Id="rId16" Type="http://schemas.openxmlformats.org/officeDocument/2006/relationships/image" Target="../media/image18.jpe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11" Type="http://schemas.openxmlformats.org/officeDocument/2006/relationships/image" Target="../media/image13.jpeg"/><Relationship Id="rId5" Type="http://schemas.openxmlformats.org/officeDocument/2006/relationships/image" Target="../media/image7.jpeg"/><Relationship Id="rId15" Type="http://schemas.openxmlformats.org/officeDocument/2006/relationships/image" Target="../media/image17.jpe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jpeg"/><Relationship Id="rId14" Type="http://schemas.openxmlformats.org/officeDocument/2006/relationships/image" Target="../media/image16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714376</xdr:colOff>
      <xdr:row>0</xdr:row>
      <xdr:rowOff>0</xdr:rowOff>
    </xdr:from>
    <xdr:to>
      <xdr:col>6</xdr:col>
      <xdr:colOff>342379</xdr:colOff>
      <xdr:row>0</xdr:row>
      <xdr:rowOff>447674</xdr:rowOff>
    </xdr:to>
    <xdr:pic>
      <xdr:nvPicPr>
        <xdr:cNvPr id="62" name="Obrázek 61" descr="cerny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95426" y="0"/>
          <a:ext cx="1761603" cy="447674"/>
        </a:xfrm>
        <a:prstGeom prst="rect">
          <a:avLst/>
        </a:prstGeom>
      </xdr:spPr>
    </xdr:pic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876300</xdr:colOff>
          <xdr:row>12</xdr:row>
          <xdr:rowOff>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8 mm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11</xdr:row>
          <xdr:rowOff>19050</xdr:rowOff>
        </xdr:from>
        <xdr:to>
          <xdr:col>5</xdr:col>
          <xdr:colOff>209550</xdr:colOff>
          <xdr:row>12</xdr:row>
          <xdr:rowOff>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 mm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11</xdr:row>
          <xdr:rowOff>19050</xdr:rowOff>
        </xdr:from>
        <xdr:to>
          <xdr:col>6</xdr:col>
          <xdr:colOff>466725</xdr:colOff>
          <xdr:row>12</xdr:row>
          <xdr:rowOff>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14 mm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11</xdr:row>
          <xdr:rowOff>19050</xdr:rowOff>
        </xdr:from>
        <xdr:to>
          <xdr:col>7</xdr:col>
          <xdr:colOff>552450</xdr:colOff>
          <xdr:row>12</xdr:row>
          <xdr:rowOff>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 mm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8</xdr:col>
          <xdr:colOff>0</xdr:colOff>
          <xdr:row>12</xdr:row>
          <xdr:rowOff>0</xdr:rowOff>
        </xdr:to>
        <xdr:sp macro="" textlink="">
          <xdr:nvSpPr>
            <xdr:cNvPr id="1036" name="Group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9</xdr:row>
          <xdr:rowOff>66675</xdr:rowOff>
        </xdr:from>
        <xdr:to>
          <xdr:col>7</xdr:col>
          <xdr:colOff>114300</xdr:colOff>
          <xdr:row>10</xdr:row>
          <xdr:rowOff>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16</xdr:row>
          <xdr:rowOff>171450</xdr:rowOff>
        </xdr:from>
        <xdr:to>
          <xdr:col>7</xdr:col>
          <xdr:colOff>342900</xdr:colOff>
          <xdr:row>18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18</xdr:row>
          <xdr:rowOff>142875</xdr:rowOff>
        </xdr:from>
        <xdr:to>
          <xdr:col>7</xdr:col>
          <xdr:colOff>342900</xdr:colOff>
          <xdr:row>20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21</xdr:row>
          <xdr:rowOff>9525</xdr:rowOff>
        </xdr:from>
        <xdr:to>
          <xdr:col>7</xdr:col>
          <xdr:colOff>342900</xdr:colOff>
          <xdr:row>22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27</xdr:row>
          <xdr:rowOff>66675</xdr:rowOff>
        </xdr:from>
        <xdr:to>
          <xdr:col>7</xdr:col>
          <xdr:colOff>114300</xdr:colOff>
          <xdr:row>28</xdr:row>
          <xdr:rowOff>0</xdr:rowOff>
        </xdr:to>
        <xdr:sp macro="" textlink="">
          <xdr:nvSpPr>
            <xdr:cNvPr id="1057" name="Drop Down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29</xdr:row>
          <xdr:rowOff>19050</xdr:rowOff>
        </xdr:from>
        <xdr:to>
          <xdr:col>3</xdr:col>
          <xdr:colOff>781050</xdr:colOff>
          <xdr:row>30</xdr:row>
          <xdr:rowOff>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6 mm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29</xdr:row>
          <xdr:rowOff>19050</xdr:rowOff>
        </xdr:from>
        <xdr:to>
          <xdr:col>5</xdr:col>
          <xdr:colOff>485775</xdr:colOff>
          <xdr:row>30</xdr:row>
          <xdr:rowOff>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8 mm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29</xdr:row>
          <xdr:rowOff>19050</xdr:rowOff>
        </xdr:from>
        <xdr:to>
          <xdr:col>7</xdr:col>
          <xdr:colOff>333375</xdr:colOff>
          <xdr:row>30</xdr:row>
          <xdr:rowOff>0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 mm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8</xdr:col>
          <xdr:colOff>0</xdr:colOff>
          <xdr:row>30</xdr:row>
          <xdr:rowOff>9525</xdr:rowOff>
        </xdr:to>
        <xdr:sp macro="" textlink="">
          <xdr:nvSpPr>
            <xdr:cNvPr id="1074" name="Group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438150</xdr:colOff>
      <xdr:row>2</xdr:row>
      <xdr:rowOff>9525</xdr:rowOff>
    </xdr:from>
    <xdr:to>
      <xdr:col>7</xdr:col>
      <xdr:colOff>238125</xdr:colOff>
      <xdr:row>10</xdr:row>
      <xdr:rowOff>47625</xdr:rowOff>
    </xdr:to>
    <xdr:pic>
      <xdr:nvPicPr>
        <xdr:cNvPr id="2" name="Obrázek 1" descr="AL_natur_profil_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95875" y="714375"/>
          <a:ext cx="1628775" cy="16287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4</xdr:col>
      <xdr:colOff>447675</xdr:colOff>
      <xdr:row>12</xdr:row>
      <xdr:rowOff>9525</xdr:rowOff>
    </xdr:from>
    <xdr:to>
      <xdr:col>7</xdr:col>
      <xdr:colOff>247650</xdr:colOff>
      <xdr:row>20</xdr:row>
      <xdr:rowOff>28575</xdr:rowOff>
    </xdr:to>
    <xdr:pic>
      <xdr:nvPicPr>
        <xdr:cNvPr id="3" name="Obrázek 2" descr="AL_nerez_profil_L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05400" y="2705100"/>
          <a:ext cx="1628775" cy="16287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4</xdr:col>
      <xdr:colOff>409576</xdr:colOff>
      <xdr:row>33</xdr:row>
      <xdr:rowOff>0</xdr:rowOff>
    </xdr:from>
    <xdr:to>
      <xdr:col>7</xdr:col>
      <xdr:colOff>190500</xdr:colOff>
      <xdr:row>41</xdr:row>
      <xdr:rowOff>9524</xdr:rowOff>
    </xdr:to>
    <xdr:pic>
      <xdr:nvPicPr>
        <xdr:cNvPr id="4" name="Obrázek 3" descr="T_profil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067301" y="7391400"/>
          <a:ext cx="1609724" cy="1609724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7</xdr:col>
      <xdr:colOff>409575</xdr:colOff>
      <xdr:row>12</xdr:row>
      <xdr:rowOff>9525</xdr:rowOff>
    </xdr:from>
    <xdr:to>
      <xdr:col>10</xdr:col>
      <xdr:colOff>219075</xdr:colOff>
      <xdr:row>20</xdr:row>
      <xdr:rowOff>38100</xdr:rowOff>
    </xdr:to>
    <xdr:pic>
      <xdr:nvPicPr>
        <xdr:cNvPr id="5" name="Obrázek 4" descr="AL_flex_natur_profil_L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896100" y="2705100"/>
          <a:ext cx="1638300" cy="1638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4</xdr:col>
      <xdr:colOff>419099</xdr:colOff>
      <xdr:row>44</xdr:row>
      <xdr:rowOff>19049</xdr:rowOff>
    </xdr:from>
    <xdr:to>
      <xdr:col>7</xdr:col>
      <xdr:colOff>180974</xdr:colOff>
      <xdr:row>52</xdr:row>
      <xdr:rowOff>19049</xdr:rowOff>
    </xdr:to>
    <xdr:pic>
      <xdr:nvPicPr>
        <xdr:cNvPr id="6" name="Obrázek 5" descr="dil_bily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076824" y="9829799"/>
          <a:ext cx="1590675" cy="15906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7</xdr:col>
      <xdr:colOff>457200</xdr:colOff>
      <xdr:row>44</xdr:row>
      <xdr:rowOff>19050</xdr:rowOff>
    </xdr:from>
    <xdr:to>
      <xdr:col>10</xdr:col>
      <xdr:colOff>200025</xdr:colOff>
      <xdr:row>52</xdr:row>
      <xdr:rowOff>0</xdr:rowOff>
    </xdr:to>
    <xdr:pic>
      <xdr:nvPicPr>
        <xdr:cNvPr id="7" name="Obrázek 6" descr="dil_sedy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943725" y="9829800"/>
          <a:ext cx="1571625" cy="15716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4</xdr:col>
      <xdr:colOff>428625</xdr:colOff>
      <xdr:row>54</xdr:row>
      <xdr:rowOff>28575</xdr:rowOff>
    </xdr:from>
    <xdr:to>
      <xdr:col>7</xdr:col>
      <xdr:colOff>180975</xdr:colOff>
      <xdr:row>62</xdr:row>
      <xdr:rowOff>9525</xdr:rowOff>
    </xdr:to>
    <xdr:pic>
      <xdr:nvPicPr>
        <xdr:cNvPr id="8" name="Obrázek 7" descr="dil_cerny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5086350" y="11830050"/>
          <a:ext cx="1581150" cy="15811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7</xdr:col>
      <xdr:colOff>438150</xdr:colOff>
      <xdr:row>54</xdr:row>
      <xdr:rowOff>19050</xdr:rowOff>
    </xdr:from>
    <xdr:to>
      <xdr:col>10</xdr:col>
      <xdr:colOff>180975</xdr:colOff>
      <xdr:row>61</xdr:row>
      <xdr:rowOff>190500</xdr:rowOff>
    </xdr:to>
    <xdr:pic>
      <xdr:nvPicPr>
        <xdr:cNvPr id="9" name="Obrázek 8" descr="dil_hnedy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924675" y="11820525"/>
          <a:ext cx="1571625" cy="15716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4</xdr:col>
      <xdr:colOff>190500</xdr:colOff>
      <xdr:row>85</xdr:row>
      <xdr:rowOff>9525</xdr:rowOff>
    </xdr:from>
    <xdr:to>
      <xdr:col>6</xdr:col>
      <xdr:colOff>552450</xdr:colOff>
      <xdr:row>92</xdr:row>
      <xdr:rowOff>190500</xdr:rowOff>
    </xdr:to>
    <xdr:pic>
      <xdr:nvPicPr>
        <xdr:cNvPr id="10" name="Obrázek 9" descr="a_58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848225" y="18326100"/>
          <a:ext cx="1581150" cy="15811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7</xdr:col>
      <xdr:colOff>466725</xdr:colOff>
      <xdr:row>75</xdr:row>
      <xdr:rowOff>9524</xdr:rowOff>
    </xdr:from>
    <xdr:to>
      <xdr:col>10</xdr:col>
      <xdr:colOff>217566</xdr:colOff>
      <xdr:row>82</xdr:row>
      <xdr:rowOff>180974</xdr:rowOff>
    </xdr:to>
    <xdr:pic>
      <xdr:nvPicPr>
        <xdr:cNvPr id="11" name="Obrázek 10" descr="Balkonovy_profil_stone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953250" y="16325849"/>
          <a:ext cx="1579641" cy="15716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4</xdr:col>
      <xdr:colOff>161925</xdr:colOff>
      <xdr:row>75</xdr:row>
      <xdr:rowOff>0</xdr:rowOff>
    </xdr:from>
    <xdr:to>
      <xdr:col>6</xdr:col>
      <xdr:colOff>533400</xdr:colOff>
      <xdr:row>82</xdr:row>
      <xdr:rowOff>190500</xdr:rowOff>
    </xdr:to>
    <xdr:pic>
      <xdr:nvPicPr>
        <xdr:cNvPr id="12" name="Obrázek 11" descr="Balkonovy_profil_Drip_stone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819650" y="16316325"/>
          <a:ext cx="1590675" cy="15906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7</xdr:col>
      <xdr:colOff>419101</xdr:colOff>
      <xdr:row>2</xdr:row>
      <xdr:rowOff>19051</xdr:rowOff>
    </xdr:from>
    <xdr:to>
      <xdr:col>10</xdr:col>
      <xdr:colOff>209551</xdr:colOff>
      <xdr:row>10</xdr:row>
      <xdr:rowOff>47626</xdr:rowOff>
    </xdr:to>
    <xdr:pic>
      <xdr:nvPicPr>
        <xdr:cNvPr id="13" name="Obrázek 12" descr="AL_elox_profil_L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905626" y="723901"/>
          <a:ext cx="1619250" cy="16192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4</xdr:col>
      <xdr:colOff>504824</xdr:colOff>
      <xdr:row>23</xdr:row>
      <xdr:rowOff>180974</xdr:rowOff>
    </xdr:from>
    <xdr:to>
      <xdr:col>7</xdr:col>
      <xdr:colOff>123825</xdr:colOff>
      <xdr:row>31</xdr:row>
      <xdr:rowOff>28575</xdr:rowOff>
    </xdr:to>
    <xdr:pic>
      <xdr:nvPicPr>
        <xdr:cNvPr id="14" name="Obrázek 13" descr="Z45_STONE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5162549" y="5333999"/>
          <a:ext cx="1447801" cy="144780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4</xdr:col>
      <xdr:colOff>209550</xdr:colOff>
      <xdr:row>65</xdr:row>
      <xdr:rowOff>9525</xdr:rowOff>
    </xdr:from>
    <xdr:to>
      <xdr:col>6</xdr:col>
      <xdr:colOff>561975</xdr:colOff>
      <xdr:row>72</xdr:row>
      <xdr:rowOff>190500</xdr:rowOff>
    </xdr:to>
    <xdr:pic>
      <xdr:nvPicPr>
        <xdr:cNvPr id="15" name="Obrázek 14" descr="terasovy_profil_plny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4867275" y="14325600"/>
          <a:ext cx="1571625" cy="15716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7</xdr:col>
      <xdr:colOff>409575</xdr:colOff>
      <xdr:row>65</xdr:row>
      <xdr:rowOff>0</xdr:rowOff>
    </xdr:from>
    <xdr:to>
      <xdr:col>10</xdr:col>
      <xdr:colOff>161925</xdr:colOff>
      <xdr:row>72</xdr:row>
      <xdr:rowOff>190500</xdr:rowOff>
    </xdr:to>
    <xdr:pic>
      <xdr:nvPicPr>
        <xdr:cNvPr id="16" name="Obrázek 15" descr="terasovy_profil_stone.jp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6896100" y="14316075"/>
          <a:ext cx="1581150" cy="15811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7</xdr:col>
      <xdr:colOff>495300</xdr:colOff>
      <xdr:row>23</xdr:row>
      <xdr:rowOff>190500</xdr:rowOff>
    </xdr:from>
    <xdr:to>
      <xdr:col>10</xdr:col>
      <xdr:colOff>114299</xdr:colOff>
      <xdr:row>31</xdr:row>
      <xdr:rowOff>38099</xdr:rowOff>
    </xdr:to>
    <xdr:pic>
      <xdr:nvPicPr>
        <xdr:cNvPr id="17" name="Obrázek 16" descr="Z25_STONE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6981825" y="5343525"/>
          <a:ext cx="1447799" cy="144779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7</xdr:col>
      <xdr:colOff>219074</xdr:colOff>
      <xdr:row>85</xdr:row>
      <xdr:rowOff>57149</xdr:rowOff>
    </xdr:from>
    <xdr:to>
      <xdr:col>10</xdr:col>
      <xdr:colOff>438149</xdr:colOff>
      <xdr:row>92</xdr:row>
      <xdr:rowOff>193712</xdr:rowOff>
    </xdr:to>
    <xdr:pic>
      <xdr:nvPicPr>
        <xdr:cNvPr id="18" name="Obrázek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599" y="18373724"/>
          <a:ext cx="2047875" cy="153673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hyperlink" Target="https://eshop.jkkamen.cz/" TargetMode="External"/><Relationship Id="rId21" Type="http://schemas.openxmlformats.org/officeDocument/2006/relationships/comments" Target="../comments1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hyperlink" Target="mailto:info@jkkamen.cz" TargetMode="External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1" Type="http://schemas.openxmlformats.org/officeDocument/2006/relationships/hyperlink" Target="https://eshop.jkkamen.cz/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P88"/>
  <sheetViews>
    <sheetView tabSelected="1" zoomScaleNormal="100" workbookViewId="0">
      <selection activeCell="D24" sqref="D24:H24"/>
    </sheetView>
  </sheetViews>
  <sheetFormatPr defaultRowHeight="14.25" x14ac:dyDescent="0.2"/>
  <cols>
    <col min="1" max="1" width="1.28515625" style="264" customWidth="1"/>
    <col min="2" max="2" width="9.140625" style="225"/>
    <col min="3" max="3" width="1.28515625" style="225" customWidth="1"/>
    <col min="4" max="4" width="13.7109375" style="228" bestFit="1" customWidth="1"/>
    <col min="5" max="7" width="9.140625" style="228"/>
    <col min="8" max="8" width="9.42578125" style="228" bestFit="1" customWidth="1"/>
    <col min="9" max="9" width="10.5703125" style="228" bestFit="1" customWidth="1"/>
    <col min="10" max="12" width="6.85546875" style="228" customWidth="1"/>
    <col min="13" max="14" width="9.140625" style="228"/>
    <col min="15" max="15" width="1.140625" style="225" customWidth="1"/>
    <col min="16" max="16" width="78.85546875" style="225" customWidth="1"/>
    <col min="17" max="16384" width="9.140625" style="225"/>
  </cols>
  <sheetData>
    <row r="1" spans="1:16" ht="48" customHeight="1" x14ac:dyDescent="0.25">
      <c r="A1" s="260"/>
      <c r="C1" s="226"/>
      <c r="D1" s="310" t="s">
        <v>296</v>
      </c>
      <c r="E1" s="310"/>
      <c r="F1" s="310"/>
      <c r="G1" s="310"/>
      <c r="H1" s="310"/>
      <c r="I1" s="311" t="s">
        <v>206</v>
      </c>
      <c r="J1" s="312"/>
      <c r="K1" s="312"/>
      <c r="L1" s="312"/>
      <c r="M1" s="312"/>
      <c r="N1" s="312"/>
      <c r="O1" s="227"/>
      <c r="P1" s="265" t="s">
        <v>289</v>
      </c>
    </row>
    <row r="2" spans="1:16" ht="15" customHeight="1" x14ac:dyDescent="0.25">
      <c r="A2" s="261"/>
      <c r="C2" s="229"/>
      <c r="D2" s="307" t="s">
        <v>295</v>
      </c>
      <c r="E2" s="308"/>
      <c r="F2" s="308"/>
      <c r="G2" s="308"/>
      <c r="H2" s="308"/>
      <c r="I2" s="313" t="s">
        <v>297</v>
      </c>
      <c r="J2" s="313"/>
      <c r="K2" s="313"/>
      <c r="L2" s="313"/>
      <c r="M2" s="313"/>
      <c r="N2" s="313"/>
      <c r="O2" s="230"/>
      <c r="P2" s="340" t="s">
        <v>290</v>
      </c>
    </row>
    <row r="3" spans="1:16" x14ac:dyDescent="0.2">
      <c r="A3" s="261"/>
      <c r="C3" s="231"/>
      <c r="D3" s="316">
        <v>420774520626</v>
      </c>
      <c r="E3" s="316"/>
      <c r="F3" s="316"/>
      <c r="G3" s="316"/>
      <c r="H3" s="316"/>
      <c r="I3" s="309" t="s">
        <v>293</v>
      </c>
      <c r="J3" s="309"/>
      <c r="K3" s="309"/>
      <c r="L3" s="309"/>
      <c r="M3" s="309"/>
      <c r="N3" s="309"/>
      <c r="O3" s="232"/>
      <c r="P3" s="340"/>
    </row>
    <row r="4" spans="1:16" ht="3.75" customHeight="1" x14ac:dyDescent="0.2">
      <c r="A4" s="261"/>
      <c r="C4" s="229"/>
      <c r="O4" s="233"/>
      <c r="P4" s="340"/>
    </row>
    <row r="5" spans="1:16" ht="11.25" customHeight="1" x14ac:dyDescent="0.2">
      <c r="A5" s="261"/>
      <c r="C5" s="229"/>
      <c r="D5" s="306" t="s">
        <v>209</v>
      </c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234"/>
    </row>
    <row r="6" spans="1:16" ht="26.85" customHeight="1" x14ac:dyDescent="0.2">
      <c r="A6" s="262"/>
      <c r="C6" s="229"/>
      <c r="D6" s="317"/>
      <c r="E6" s="318"/>
      <c r="F6" s="318"/>
      <c r="G6" s="318"/>
      <c r="H6" s="318"/>
      <c r="I6" s="318"/>
      <c r="J6" s="318"/>
      <c r="K6" s="318"/>
      <c r="L6" s="318"/>
      <c r="M6" s="318"/>
      <c r="N6" s="319"/>
      <c r="O6" s="233"/>
    </row>
    <row r="7" spans="1:16" ht="11.25" customHeight="1" x14ac:dyDescent="0.2">
      <c r="A7" s="261"/>
      <c r="C7" s="229"/>
      <c r="D7" s="235"/>
      <c r="E7" s="235"/>
      <c r="F7" s="235"/>
      <c r="G7" s="235"/>
      <c r="H7" s="321" t="s">
        <v>287</v>
      </c>
      <c r="I7" s="321"/>
      <c r="J7" s="321"/>
      <c r="K7" s="321"/>
      <c r="L7" s="321"/>
      <c r="M7" s="321"/>
      <c r="N7" s="321"/>
      <c r="O7" s="233"/>
    </row>
    <row r="8" spans="1:16" ht="18.75" customHeight="1" x14ac:dyDescent="0.2">
      <c r="A8" s="262"/>
      <c r="C8" s="229"/>
      <c r="D8" s="322" t="s">
        <v>210</v>
      </c>
      <c r="E8" s="323"/>
      <c r="F8" s="323"/>
      <c r="G8" s="323"/>
      <c r="H8" s="324"/>
      <c r="I8" s="324"/>
      <c r="J8" s="324"/>
      <c r="K8" s="324"/>
      <c r="L8" s="324"/>
      <c r="M8" s="324"/>
      <c r="N8" s="325"/>
      <c r="O8" s="236">
        <f>IF(VYBER_PRO_CENNIK="",0,IF(VYBER_PRO_CENNIK="Standartní kamenný koberec pro exteriér i interiér",1,2))</f>
        <v>0</v>
      </c>
      <c r="P8" s="272"/>
    </row>
    <row r="9" spans="1:16" ht="12.75" customHeight="1" x14ac:dyDescent="0.2">
      <c r="A9" s="261"/>
      <c r="C9" s="229"/>
      <c r="D9" s="302" t="s">
        <v>212</v>
      </c>
      <c r="E9" s="302"/>
      <c r="F9" s="302"/>
      <c r="G9" s="302"/>
      <c r="H9" s="302"/>
      <c r="I9" s="237" t="s">
        <v>10</v>
      </c>
      <c r="J9" s="338" t="s">
        <v>11</v>
      </c>
      <c r="K9" s="338"/>
      <c r="L9" s="338"/>
      <c r="M9" s="338"/>
      <c r="N9" s="237" t="s">
        <v>12</v>
      </c>
      <c r="O9" s="238"/>
    </row>
    <row r="10" spans="1:16" ht="26.85" customHeight="1" x14ac:dyDescent="0.2">
      <c r="A10" s="262"/>
      <c r="C10" s="229"/>
      <c r="D10" s="328"/>
      <c r="E10" s="329"/>
      <c r="F10" s="329"/>
      <c r="G10" s="329"/>
      <c r="H10" s="330"/>
      <c r="I10" s="239" t="str">
        <f>IF(CISLO_RADKU="","",INDEX(SEZNAM_KAMENIVA,CISLO_RADKU,1))</f>
        <v/>
      </c>
      <c r="J10" s="314" t="str">
        <f>IF(CISLO_RADKU="","",INDEX(SEZNAM_KAMENIVA,CISLO_RADKU,2))</f>
        <v/>
      </c>
      <c r="K10" s="314"/>
      <c r="L10" s="314"/>
      <c r="M10" s="314"/>
      <c r="N10" s="240" t="str">
        <f>IF(CISLO_RADKU="","",INDEX(SEZNAM_KAMENIVA,CISLO_RADKU,3))</f>
        <v/>
      </c>
      <c r="O10" s="241"/>
      <c r="P10" s="242" t="str">
        <f>IF(AND(LEFT(MOJE_FRAKCE,1)="4",DRUH_MISTA="Interiér"),IF(VYBRANA_TLOUSTKA=1,"Pro frakci "&amp;MOJE_FRAKCE&amp;" se nedoporučuje použítí v INTERIÉRU a tloušťa nanášené vrstvy musí být větší než 8 mm","Pro frakci "&amp;MOJE_FRAKCE&amp;" se nedoporučuje použítí v INTERIÉRU"),IF(AND(LEFT(MOJE_FRAKCE,1)="4",VYBRANA_TLOUSTKA=1),"Tloušťa nanášené vrstvy musí být větší než 8 mm",""))</f>
        <v/>
      </c>
    </row>
    <row r="11" spans="1:16" ht="12.75" customHeight="1" x14ac:dyDescent="0.2">
      <c r="A11" s="261"/>
      <c r="C11" s="229"/>
      <c r="D11" s="302" t="s">
        <v>214</v>
      </c>
      <c r="E11" s="302"/>
      <c r="F11" s="302"/>
      <c r="G11" s="302"/>
      <c r="H11" s="302"/>
      <c r="I11" s="298" t="str">
        <f>IF(AND(VYBRANA_TLOUSTKA=1,DRUH_MISTA="Exteriér")=TRUE,"POZOR máte zadán EXTERIÉR",IF(AND(VYBRANA_TLOUSTKA&gt;1,DRUH_MISTA="Interiér"=TRUE),"POZOR máte zadán INTERIÉR",""))</f>
        <v/>
      </c>
      <c r="J11" s="298"/>
      <c r="K11" s="298"/>
      <c r="L11" s="298"/>
      <c r="M11" s="298"/>
      <c r="N11" s="298"/>
      <c r="O11" s="238"/>
      <c r="P11" s="315" t="s">
        <v>215</v>
      </c>
    </row>
    <row r="12" spans="1:16" ht="26.85" customHeight="1" x14ac:dyDescent="0.2">
      <c r="A12" s="262"/>
      <c r="C12" s="229"/>
      <c r="D12" s="299"/>
      <c r="E12" s="299"/>
      <c r="F12" s="299"/>
      <c r="G12" s="299"/>
      <c r="H12" s="299"/>
      <c r="I12" s="314" t="str">
        <f>IF(VYBRANA_TLOUSTKA="","",INDEX(SPOTREBA_vodorovna,VYBRANA_TLOUSTKA,2))</f>
        <v/>
      </c>
      <c r="J12" s="314"/>
      <c r="K12" s="314"/>
      <c r="L12" s="314"/>
      <c r="M12" s="314"/>
      <c r="N12" s="320"/>
      <c r="O12" s="243"/>
      <c r="P12" s="315"/>
    </row>
    <row r="13" spans="1:16" ht="12.75" customHeight="1" x14ac:dyDescent="0.2">
      <c r="A13" s="261"/>
      <c r="C13" s="229"/>
      <c r="D13" s="302" t="s">
        <v>243</v>
      </c>
      <c r="E13" s="302"/>
      <c r="F13" s="302"/>
      <c r="G13" s="302"/>
      <c r="H13" s="302"/>
      <c r="I13" s="302" t="s">
        <v>244</v>
      </c>
      <c r="J13" s="302"/>
      <c r="K13" s="302"/>
      <c r="L13" s="302"/>
      <c r="M13" s="302"/>
      <c r="N13" s="302"/>
      <c r="O13" s="233"/>
      <c r="P13" s="315"/>
    </row>
    <row r="14" spans="1:16" ht="26.85" customHeight="1" x14ac:dyDescent="0.2">
      <c r="A14" s="262"/>
      <c r="C14" s="229"/>
      <c r="D14" s="303"/>
      <c r="E14" s="304"/>
      <c r="F14" s="304"/>
      <c r="G14" s="304"/>
      <c r="H14" s="305"/>
      <c r="I14" s="294" t="str">
        <f>IFERROR(CEILING(IF(VYBRANA_TLOUSTKA="","",(INDEX(SPOTREBA_vodorovna,VYBRANA_TLOUSTKA,4)*ZADANA_PLOCHA)),1),"")</f>
        <v/>
      </c>
      <c r="J14" s="295"/>
      <c r="K14" s="295"/>
      <c r="L14" s="296" t="str">
        <f>IF(OBJ_KOD&lt;&gt;"",IF(AND(POCET_SETU_ZAKLAD&lt;&gt;"",VYBRANA_TLOUSTKA&lt;&gt;""),IF(POCET_SETU_ZAKLAD&lt;2,"set",IF(POCET_SETU_ZAKLAD&lt;5,"sety","setů")),""),"")</f>
        <v/>
      </c>
      <c r="M14" s="296"/>
      <c r="N14" s="297"/>
      <c r="O14" s="233"/>
      <c r="P14" s="315"/>
    </row>
    <row r="15" spans="1:16" ht="12.75" customHeight="1" x14ac:dyDescent="0.2">
      <c r="A15" s="261"/>
      <c r="C15" s="229"/>
      <c r="D15" s="302" t="s">
        <v>272</v>
      </c>
      <c r="E15" s="302"/>
      <c r="F15" s="302"/>
      <c r="G15" s="302"/>
      <c r="H15" s="302"/>
      <c r="I15" s="302" t="s">
        <v>268</v>
      </c>
      <c r="J15" s="302"/>
      <c r="K15" s="302"/>
      <c r="L15" s="302"/>
      <c r="M15" s="302"/>
      <c r="N15" s="302"/>
      <c r="O15" s="233"/>
    </row>
    <row r="16" spans="1:16" ht="26.85" customHeight="1" x14ac:dyDescent="0.2">
      <c r="A16" s="262"/>
      <c r="C16" s="229"/>
      <c r="D16" s="291" t="str">
        <f>IFERROR(IF(VYBRANA_TLOUSTKA="","",(INDEX(SPOTREBA_vodorovna,VYBRANA_TLOUSTKA,4)*ZADANA_PLOCHA)*0.1+(INDEX(SPOTREBA_vodorovna,VYBRANA_TLOUSTKA,4)*ZADANA_PLOCHA)),"")</f>
        <v/>
      </c>
      <c r="E16" s="292"/>
      <c r="F16" s="292"/>
      <c r="G16" s="292"/>
      <c r="H16" s="293"/>
      <c r="I16" s="294" t="str">
        <f>IFERROR( CEILING(VYPOCET_10_PROCENT,1),"")</f>
        <v/>
      </c>
      <c r="J16" s="295"/>
      <c r="K16" s="295"/>
      <c r="L16" s="296" t="str">
        <f>IF(OBJ_KOD&lt;&gt;"",IF(AND(DOPORUCENO_SETU&lt;&gt;"",VYBRANA_TLOUSTKA&lt;&gt;""),IF(DOPORUCENO_SETU&lt;2,"set",IF(DOPORUCENO_SETU&lt;5,"sety","setů")),""),"")</f>
        <v/>
      </c>
      <c r="M16" s="296"/>
      <c r="N16" s="297"/>
      <c r="O16" s="233"/>
    </row>
    <row r="17" spans="1:16" ht="12.75" customHeight="1" x14ac:dyDescent="0.2">
      <c r="A17" s="261"/>
      <c r="C17" s="229"/>
      <c r="D17" s="302" t="s">
        <v>264</v>
      </c>
      <c r="E17" s="302"/>
      <c r="F17" s="302"/>
      <c r="G17" s="302"/>
      <c r="H17" s="302"/>
      <c r="I17" s="235"/>
      <c r="J17" s="235"/>
      <c r="K17" s="235"/>
      <c r="L17" s="235"/>
      <c r="M17" s="235"/>
      <c r="N17" s="235"/>
      <c r="O17" s="233"/>
    </row>
    <row r="18" spans="1:16" ht="26.85" customHeight="1" x14ac:dyDescent="0.2">
      <c r="A18" s="262"/>
      <c r="C18" s="229"/>
      <c r="D18" s="244"/>
      <c r="E18" s="326" t="s">
        <v>245</v>
      </c>
      <c r="F18" s="326"/>
      <c r="G18" s="326"/>
      <c r="H18" s="327"/>
      <c r="I18" s="331" t="str">
        <f>IFERROR(CEILING(IF(CHCI_PENETRACI=TRUE,PENETRACE*ZADANA_PLOCHA,""),1),"")</f>
        <v/>
      </c>
      <c r="J18" s="332"/>
      <c r="K18" s="332"/>
      <c r="L18" s="332"/>
      <c r="M18" s="332"/>
      <c r="N18" s="333"/>
      <c r="O18" s="233"/>
    </row>
    <row r="19" spans="1:16" ht="12.75" customHeight="1" x14ac:dyDescent="0.2">
      <c r="A19" s="261"/>
      <c r="C19" s="229"/>
      <c r="D19" s="302" t="s">
        <v>265</v>
      </c>
      <c r="E19" s="302"/>
      <c r="F19" s="302"/>
      <c r="G19" s="302"/>
      <c r="H19" s="302"/>
      <c r="I19" s="235"/>
      <c r="J19" s="235"/>
      <c r="K19" s="235"/>
      <c r="L19" s="235"/>
      <c r="M19" s="235"/>
      <c r="N19" s="235"/>
      <c r="O19" s="233"/>
    </row>
    <row r="20" spans="1:16" ht="26.85" customHeight="1" x14ac:dyDescent="0.2">
      <c r="A20" s="262"/>
      <c r="C20" s="229"/>
      <c r="D20" s="244"/>
      <c r="E20" s="326" t="s">
        <v>291</v>
      </c>
      <c r="F20" s="326"/>
      <c r="G20" s="326"/>
      <c r="H20" s="327"/>
      <c r="I20" s="331" t="str">
        <f>IFERROR(CEILING(IF(CHCI_POSYP=TRUE,PENETRACNI_POSYP*ZADANA_PLOCHA,""),1),"")</f>
        <v/>
      </c>
      <c r="J20" s="332"/>
      <c r="K20" s="332"/>
      <c r="L20" s="332"/>
      <c r="M20" s="332"/>
      <c r="N20" s="333"/>
      <c r="O20" s="233"/>
    </row>
    <row r="21" spans="1:16" ht="12.75" customHeight="1" x14ac:dyDescent="0.2">
      <c r="A21" s="261"/>
      <c r="C21" s="229"/>
      <c r="D21" s="302" t="s">
        <v>266</v>
      </c>
      <c r="E21" s="302"/>
      <c r="F21" s="302"/>
      <c r="G21" s="302"/>
      <c r="H21" s="302"/>
      <c r="I21" s="235"/>
      <c r="J21" s="235"/>
      <c r="K21" s="235"/>
      <c r="L21" s="235"/>
      <c r="M21" s="235"/>
      <c r="N21" s="235"/>
      <c r="O21" s="233"/>
    </row>
    <row r="22" spans="1:16" ht="26.85" customHeight="1" x14ac:dyDescent="0.2">
      <c r="A22" s="262"/>
      <c r="C22" s="229"/>
      <c r="D22" s="341" t="s">
        <v>135</v>
      </c>
      <c r="E22" s="342"/>
      <c r="F22" s="342"/>
      <c r="G22" s="342"/>
      <c r="H22" s="343"/>
      <c r="I22" s="331" t="str">
        <f>IFERROR(CEILING(IF(CHCI_HYDROIZOLACI=TRUE,HYDROIZOLACE*ZADANA_PLOCHA,""),1),"")</f>
        <v/>
      </c>
      <c r="J22" s="332"/>
      <c r="K22" s="332"/>
      <c r="L22" s="332"/>
      <c r="M22" s="332"/>
      <c r="N22" s="333"/>
      <c r="O22" s="233"/>
      <c r="P22" s="266"/>
    </row>
    <row r="23" spans="1:16" ht="12.75" customHeight="1" x14ac:dyDescent="0.2">
      <c r="A23" s="261"/>
      <c r="C23" s="229"/>
      <c r="D23" s="302" t="s">
        <v>288</v>
      </c>
      <c r="E23" s="302"/>
      <c r="F23" s="302"/>
      <c r="G23" s="302"/>
      <c r="H23" s="302"/>
      <c r="I23" s="298" t="str">
        <f>IF(OR(DRUH_MISTA="",CHCI_PLNIC=""),"",IF(IFERROR(SEARCH("PORE 100",CHCI_PLNIC,1),"Interiér")="Interiér",IF(IFERROR(SEARCH("PORE 100",CHCI_PLNIC,1),"Interiér")=DRUH_MISTA,"","POZOR máte zadán EXTERIÉR"),IF(AND(IFERROR(SEARCH("PORE 100",CHCI_PLNIC,1),"Interiér")&lt;&gt;";Interiér",DRUH_MISTA="Interiér"),"POZOR máte zadán INTERIÉR","")))</f>
        <v/>
      </c>
      <c r="J23" s="298"/>
      <c r="K23" s="298"/>
      <c r="L23" s="298"/>
      <c r="M23" s="298"/>
      <c r="N23" s="298"/>
      <c r="O23" s="233"/>
    </row>
    <row r="24" spans="1:16" ht="26.85" customHeight="1" x14ac:dyDescent="0.2">
      <c r="A24" s="262"/>
      <c r="C24" s="229"/>
      <c r="D24" s="334"/>
      <c r="E24" s="335"/>
      <c r="F24" s="335"/>
      <c r="G24" s="335"/>
      <c r="H24" s="336"/>
      <c r="I24" s="331" t="str">
        <f>IF(OR(MID(MOJE_FRAKCE,1,1)&lt;&gt;"2",CHCI_PLNIC=""),"",IFERROR(VLOOKUP(MOJE_FRAKCE,BEZ_PLNICE,6,0),VLOOKUP((CHCI_PLNIC&amp;" "&amp;MOJE_FRAKCE),VSECHNY_PLNICE,4,0)*ZADANA_PLOCHA))</f>
        <v/>
      </c>
      <c r="J24" s="332"/>
      <c r="K24" s="332"/>
      <c r="L24" s="332"/>
      <c r="M24" s="332"/>
      <c r="N24" s="333"/>
      <c r="O24" s="233"/>
      <c r="P24" s="267" t="str">
        <f>IFERROR(IF(CHCI_PLNIC="","",IFERROR(VLOOKUP(MOJE_FRAKCE,BEZ_PLNICE,6,0),VLOOKUP((CHCI_PLNIC&amp;" "&amp;MOJE_FRAKCE),VSECHNY_PLNICE,7,0))),IF(MOJE_FRAKCE="","Není vybráno kamenivo",""))</f>
        <v/>
      </c>
    </row>
    <row r="25" spans="1:16" ht="3.75" customHeight="1" x14ac:dyDescent="0.2">
      <c r="A25" s="261"/>
      <c r="C25" s="229"/>
      <c r="D25" s="235"/>
      <c r="E25" s="235"/>
      <c r="F25" s="302"/>
      <c r="G25" s="302"/>
      <c r="H25" s="302"/>
      <c r="I25" s="302"/>
      <c r="J25" s="302"/>
      <c r="K25" s="245"/>
      <c r="L25" s="235"/>
      <c r="M25" s="235"/>
      <c r="N25" s="235"/>
      <c r="O25" s="233"/>
    </row>
    <row r="26" spans="1:16" ht="17.25" customHeight="1" x14ac:dyDescent="0.2">
      <c r="A26" s="262"/>
      <c r="C26" s="229"/>
      <c r="D26" s="246"/>
      <c r="E26" s="247"/>
      <c r="F26" s="247"/>
      <c r="G26" s="337" t="s">
        <v>273</v>
      </c>
      <c r="H26" s="337"/>
      <c r="I26" s="337"/>
      <c r="J26" s="337"/>
      <c r="K26" s="248"/>
      <c r="L26" s="247"/>
      <c r="M26" s="247"/>
      <c r="N26" s="249"/>
      <c r="O26" s="233"/>
    </row>
    <row r="27" spans="1:16" ht="12.75" customHeight="1" x14ac:dyDescent="0.2">
      <c r="A27" s="261"/>
      <c r="C27" s="229"/>
      <c r="D27" s="302" t="s">
        <v>212</v>
      </c>
      <c r="E27" s="302"/>
      <c r="F27" s="302"/>
      <c r="G27" s="302"/>
      <c r="H27" s="302"/>
      <c r="I27" s="237" t="s">
        <v>10</v>
      </c>
      <c r="J27" s="338" t="s">
        <v>11</v>
      </c>
      <c r="K27" s="338"/>
      <c r="L27" s="338"/>
      <c r="M27" s="338"/>
      <c r="N27" s="237" t="s">
        <v>12</v>
      </c>
      <c r="O27" s="238"/>
    </row>
    <row r="28" spans="1:16" ht="26.85" customHeight="1" x14ac:dyDescent="0.2">
      <c r="A28" s="262"/>
      <c r="C28" s="229"/>
      <c r="D28" s="328">
        <v>11</v>
      </c>
      <c r="E28" s="329"/>
      <c r="F28" s="329"/>
      <c r="G28" s="329"/>
      <c r="H28" s="330"/>
      <c r="I28" s="239" t="str">
        <f>IF(RADEK_SVISLA_PLOCHA="","",INDEX(SEZNAM_WALL_KAMENIVA,RADEK_SVISLA_PLOCHA,1))</f>
        <v/>
      </c>
      <c r="J28" s="314" t="str">
        <f>IF(RADEK_SVISLA_PLOCHA="","",INDEX(SEZNAM_WALL_KAMENIVA,RADEK_SVISLA_PLOCHA,2))</f>
        <v/>
      </c>
      <c r="K28" s="314"/>
      <c r="L28" s="314"/>
      <c r="M28" s="314"/>
      <c r="N28" s="240" t="str">
        <f>IF(RADEK_SVISLA_PLOCHA="","",INDEX(SEZNAM_WALL_KAMENIVA,RADEK_SVISLA_PLOCHA,3))</f>
        <v/>
      </c>
      <c r="O28" s="241"/>
      <c r="P28" s="250"/>
    </row>
    <row r="29" spans="1:16" ht="12.75" customHeight="1" x14ac:dyDescent="0.2">
      <c r="A29" s="261"/>
      <c r="C29" s="229"/>
      <c r="D29" s="302" t="s">
        <v>214</v>
      </c>
      <c r="E29" s="302"/>
      <c r="F29" s="302"/>
      <c r="G29" s="302"/>
      <c r="H29" s="302"/>
      <c r="I29" s="298"/>
      <c r="J29" s="298"/>
      <c r="K29" s="298"/>
      <c r="L29" s="298"/>
      <c r="M29" s="298"/>
      <c r="N29" s="298"/>
      <c r="O29" s="238"/>
    </row>
    <row r="30" spans="1:16" ht="26.85" customHeight="1" x14ac:dyDescent="0.2">
      <c r="A30" s="262"/>
      <c r="C30" s="229"/>
      <c r="D30" s="299">
        <v>1</v>
      </c>
      <c r="E30" s="299"/>
      <c r="F30" s="299"/>
      <c r="G30" s="299"/>
      <c r="H30" s="299"/>
      <c r="I30" s="300" t="str">
        <f>IF(VYBRANA_TLOUSTKA_SVISLA="","",INDEX(TLOUSTKA_SVISLA,VYBRANA_TLOUSTKA_SVISLA,2))</f>
        <v/>
      </c>
      <c r="J30" s="300"/>
      <c r="K30" s="300"/>
      <c r="L30" s="300"/>
      <c r="M30" s="300"/>
      <c r="N30" s="301"/>
      <c r="O30" s="243"/>
    </row>
    <row r="31" spans="1:16" ht="12.75" customHeight="1" x14ac:dyDescent="0.2">
      <c r="A31" s="261"/>
      <c r="C31" s="229"/>
      <c r="D31" s="302" t="s">
        <v>243</v>
      </c>
      <c r="E31" s="302"/>
      <c r="F31" s="302"/>
      <c r="G31" s="302"/>
      <c r="H31" s="302"/>
      <c r="I31" s="302" t="s">
        <v>244</v>
      </c>
      <c r="J31" s="302"/>
      <c r="K31" s="302"/>
      <c r="L31" s="302"/>
      <c r="M31" s="302"/>
      <c r="N31" s="302"/>
      <c r="O31" s="233"/>
    </row>
    <row r="32" spans="1:16" ht="26.85" customHeight="1" x14ac:dyDescent="0.2">
      <c r="A32" s="262"/>
      <c r="C32" s="229"/>
      <c r="D32" s="303"/>
      <c r="E32" s="304"/>
      <c r="F32" s="304"/>
      <c r="G32" s="304"/>
      <c r="H32" s="305"/>
      <c r="I32" s="294" t="str">
        <f>IFERROR(CEILING(IF(VYBRANA_TLOUSTKA_SVISLA="","",(INDEX(SPOTREBA_VSE,VYBRANA_TLOUSTKA_SVISLA,4)*ZADANA_svisla_PLOCHA)),1),"")</f>
        <v/>
      </c>
      <c r="J32" s="295"/>
      <c r="K32" s="295"/>
      <c r="L32" s="296" t="str">
        <f>IF(OBJ_SVISLY_KOD&lt;&gt;"",IF(POCET_SETU_ZAKLAD_SVISLA&lt;&gt;"",IF(POCET_SETU_ZAKLAD_SVISLA&lt;2,"set",IF(POCET_SETU_ZAKLAD_SVISLA&lt;5,"sety","setů"))),"")</f>
        <v/>
      </c>
      <c r="M32" s="296"/>
      <c r="N32" s="297"/>
      <c r="O32" s="233"/>
    </row>
    <row r="33" spans="1:15" ht="12.75" customHeight="1" x14ac:dyDescent="0.2">
      <c r="A33" s="261"/>
      <c r="C33" s="229"/>
      <c r="D33" s="302" t="s">
        <v>272</v>
      </c>
      <c r="E33" s="302"/>
      <c r="F33" s="302"/>
      <c r="G33" s="302"/>
      <c r="H33" s="302"/>
      <c r="I33" s="302" t="s">
        <v>268</v>
      </c>
      <c r="J33" s="302"/>
      <c r="K33" s="302"/>
      <c r="L33" s="302"/>
      <c r="M33" s="302"/>
      <c r="N33" s="302"/>
      <c r="O33" s="233"/>
    </row>
    <row r="34" spans="1:15" ht="26.85" customHeight="1" x14ac:dyDescent="0.2">
      <c r="A34" s="262"/>
      <c r="C34" s="229"/>
      <c r="D34" s="291" t="str">
        <f>IFERROR(IF(VYBRANA_TLOUSTKA_SVISLA="","",(INDEX(SPOTREBA_VSE,VYBRANA_TLOUSTKA_SVISLA,4)*ZADANA_svisla_PLOCHA)*0.1+(INDEX(SPOTREBA_VSE,VYBRANA_TLOUSTKA_SVISLA,4)*ZADANA_svisla_PLOCHA)),"")</f>
        <v/>
      </c>
      <c r="E34" s="292"/>
      <c r="F34" s="292"/>
      <c r="G34" s="292"/>
      <c r="H34" s="293"/>
      <c r="I34" s="294" t="str">
        <f>IFERROR( CEILING(VYPOCET_10_PROCENT_SVISLA,1),"")</f>
        <v/>
      </c>
      <c r="J34" s="295"/>
      <c r="K34" s="295"/>
      <c r="L34" s="296" t="str">
        <f>IF(OBJ_SVISLY_KOD&lt;&gt;"",IF(DOPORUCENO_SETU_SVISLA&lt;&gt;"",IF(DOPORUCENO_SETU_SVISLA&lt;2,"set",IF(DOPORUCENO_SETU_SVISLA&lt;5,"sety","setů"))),"")</f>
        <v/>
      </c>
      <c r="M34" s="296"/>
      <c r="N34" s="297"/>
      <c r="O34" s="233"/>
    </row>
    <row r="35" spans="1:15" ht="6.75" customHeight="1" x14ac:dyDescent="0.2">
      <c r="A35" s="261"/>
      <c r="C35" s="229"/>
      <c r="O35" s="233"/>
    </row>
    <row r="36" spans="1:15" ht="15" customHeight="1" x14ac:dyDescent="0.25">
      <c r="A36" s="261"/>
      <c r="C36" s="229"/>
      <c r="D36" s="288" t="str">
        <f>IF(DRUH_MISTA&gt;0,DRUH_MISTA,"")</f>
        <v/>
      </c>
      <c r="E36" s="290" t="str">
        <f>IF(VYBER_PRO_CENNIK="","",IF(VYBER_PRO_CENNIK="Standartní kamenný koberec pro exteriér i interiér","Vybrané pojivo pro: " &amp; VYBER_PRO_CENNIK,"Vybrané pojivo : " &amp; VYBER_PRO_CENNIK))</f>
        <v/>
      </c>
      <c r="F36" s="290"/>
      <c r="G36" s="290"/>
      <c r="H36" s="290"/>
      <c r="I36" s="290"/>
      <c r="J36" s="290"/>
      <c r="K36" s="290"/>
      <c r="L36" s="290"/>
      <c r="M36" s="290"/>
      <c r="N36" s="290"/>
      <c r="O36" s="233"/>
    </row>
    <row r="37" spans="1:15" ht="14.25" customHeight="1" x14ac:dyDescent="0.2">
      <c r="A37" s="261"/>
      <c r="C37" s="229"/>
      <c r="D37" s="289"/>
      <c r="E37" s="251" t="s">
        <v>280</v>
      </c>
      <c r="F37" s="281" t="s">
        <v>281</v>
      </c>
      <c r="G37" s="281"/>
      <c r="H37" s="251" t="s">
        <v>12</v>
      </c>
      <c r="I37" s="281" t="s">
        <v>279</v>
      </c>
      <c r="J37" s="281"/>
      <c r="K37" s="279" t="s">
        <v>277</v>
      </c>
      <c r="L37" s="279"/>
      <c r="M37" s="281" t="s">
        <v>276</v>
      </c>
      <c r="N37" s="281"/>
      <c r="O37" s="233"/>
    </row>
    <row r="38" spans="1:15" x14ac:dyDescent="0.2">
      <c r="A38" s="261"/>
      <c r="C38" s="229"/>
      <c r="D38" s="252" t="s">
        <v>278</v>
      </c>
      <c r="E38" s="253" t="str">
        <f>IF(OBJ_KOD&lt;&gt;"",OBJ_KOD,"")</f>
        <v/>
      </c>
      <c r="F38" s="278" t="str">
        <f>IF(OBJ_KAMENIVO&lt;&gt;"",OBJ_KAMENIVO,"")</f>
        <v/>
      </c>
      <c r="G38" s="278"/>
      <c r="H38" s="253" t="str">
        <f>IF(MOJE_FRAKCE&lt;&gt;"",MOJE_FRAKCE,"")</f>
        <v/>
      </c>
      <c r="I38" s="254" t="str">
        <f>IF(DOPORUCENO_SETU&lt;&gt;"",DOPORUCENO_SETU,"")</f>
        <v/>
      </c>
      <c r="J38" s="255" t="str">
        <f>IF(JEDNOTKA&lt;&gt;"",JEDNOTKA,"")</f>
        <v/>
      </c>
      <c r="K38" s="280" t="str">
        <f>IF(TEST_VYBERU=0,"",IF(VP_KOD&lt;&gt;"",IFERROR(ROUND(VLOOKUP(VP_KOD&amp;VP_FRAKCE,IF(TEST_VYBERU=1,CENIK_EMZ_80,CENIK_EMZ_100),5,0)*VP_SET,1),""),""))</f>
        <v/>
      </c>
      <c r="L38" s="280"/>
      <c r="M38" s="282" t="str">
        <f>IF(TEST_VYBERU=0,"",IF(VP_KOD&lt;&gt;"",IFERROR(ROUND(VLOOKUP(VP_KOD&amp;VP_FRAKCE,IF(TEST_VYBERU=1,CENIK_EMZ_80,CENIK_EMZ_100),6,0)*VP_SET,1),""),""))</f>
        <v/>
      </c>
      <c r="N38" s="282"/>
      <c r="O38" s="233"/>
    </row>
    <row r="39" spans="1:15" x14ac:dyDescent="0.2">
      <c r="A39" s="261"/>
      <c r="C39" s="229"/>
      <c r="D39" s="252" t="s">
        <v>282</v>
      </c>
      <c r="E39" s="253" t="str">
        <f>IF(OBJ_SVISLY_KOD&lt;&gt;"",OBJ_SVISLY_KOD,"")</f>
        <v/>
      </c>
      <c r="F39" s="278" t="str">
        <f>IF(OBJ_SVISLY_KAMENIVO&lt;&gt;"",OBJ_SVISLY_KAMENIVO,"")</f>
        <v/>
      </c>
      <c r="G39" s="278"/>
      <c r="H39" s="253" t="str">
        <f>IF(SVISLA_FRAKCE&lt;&gt;"",SVISLA_FRAKCE,"")</f>
        <v/>
      </c>
      <c r="I39" s="254" t="str">
        <f>IF(DOPORUCENO_SETU_SVISLA&lt;&gt;"",DOPORUCENO_SETU_SVISLA,"")</f>
        <v/>
      </c>
      <c r="J39" s="255" t="str">
        <f>IF(JEDNOTKA_SVISLA&lt;&gt;"",JEDNOTKA_SVISLA,"")</f>
        <v/>
      </c>
      <c r="K39" s="280" t="str">
        <f>IF(SP_KOD&lt;&gt;"",IFERROR(ROUND(VLOOKUP(SP_KOD&amp;SP_FRAKCE,CENIK_WALL,5,0)*SP_SET,1),"xxx"),"")</f>
        <v/>
      </c>
      <c r="L39" s="280"/>
      <c r="M39" s="282" t="str">
        <f>IF(OBJ_KOD&lt;&gt;"",IFERROR(ROUND(VLOOKUP(SP_KOD&amp;SP_FRAKCE,CENIK_WALL,6,0)*SP_SET,1),""),"")</f>
        <v/>
      </c>
      <c r="N39" s="282"/>
      <c r="O39" s="233"/>
    </row>
    <row r="40" spans="1:15" x14ac:dyDescent="0.2">
      <c r="A40" s="261"/>
      <c r="C40" s="229"/>
      <c r="D40" s="277" t="s">
        <v>119</v>
      </c>
      <c r="E40" s="277"/>
      <c r="F40" s="277"/>
      <c r="G40" s="277"/>
      <c r="H40" s="277"/>
      <c r="I40" s="254" t="str">
        <f>IF(POCET_PENETRACE&lt;&gt;"",POCET_PENETRACE,"")</f>
        <v/>
      </c>
      <c r="J40" s="256" t="str">
        <f>I40</f>
        <v/>
      </c>
      <c r="K40" s="280" t="str">
        <f>IFERROR(VLOOKUP($D40,CENA_PENETRACE,2,0)*Penetrace_VP,"")</f>
        <v/>
      </c>
      <c r="L40" s="280"/>
      <c r="M40" s="280" t="str">
        <f>IFERROR(VLOOKUP($D40,CENA_PENETRACE,3,0)*Penetrace_VP,"")</f>
        <v/>
      </c>
      <c r="N40" s="280"/>
      <c r="O40" s="233"/>
    </row>
    <row r="41" spans="1:15" x14ac:dyDescent="0.2">
      <c r="A41" s="261"/>
      <c r="C41" s="229"/>
      <c r="D41" s="277" t="s">
        <v>120</v>
      </c>
      <c r="E41" s="277"/>
      <c r="F41" s="277"/>
      <c r="G41" s="277"/>
      <c r="H41" s="277"/>
      <c r="I41" s="254" t="str">
        <f>IF(POCET_POSYP&lt;&gt;"",POCET_POSYP,"")</f>
        <v/>
      </c>
      <c r="J41" s="256" t="str">
        <f>I41</f>
        <v/>
      </c>
      <c r="K41" s="280" t="str">
        <f>IFERROR(VLOOKUP($D41,CENA_POSYPU,2,0)*Poszp_VP,"")</f>
        <v/>
      </c>
      <c r="L41" s="280"/>
      <c r="M41" s="280" t="str">
        <f>IFERROR(VLOOKUP($D41,CENA_POSYPU,3,0)*Poszp_VP,"")</f>
        <v/>
      </c>
      <c r="N41" s="280"/>
      <c r="O41" s="233"/>
    </row>
    <row r="42" spans="1:15" x14ac:dyDescent="0.2">
      <c r="A42" s="261"/>
      <c r="C42" s="229"/>
      <c r="D42" s="277" t="s">
        <v>135</v>
      </c>
      <c r="E42" s="277"/>
      <c r="F42" s="277"/>
      <c r="G42" s="277"/>
      <c r="H42" s="277"/>
      <c r="I42" s="254" t="str">
        <f>IF(POCET_HYDRO&lt;&gt;"",POCET_HYDRO,"")</f>
        <v/>
      </c>
      <c r="J42" s="256" t="str">
        <f>I42</f>
        <v/>
      </c>
      <c r="K42" s="280" t="str">
        <f>IFERROR(VLOOKUP($D42,CENA_HYDRO,2,0)*HYDRO,"")</f>
        <v/>
      </c>
      <c r="L42" s="280"/>
      <c r="M42" s="280" t="str">
        <f>IFERROR(VLOOKUP($D42,CENA_HYDRO,3,0)*HYDRO,"")</f>
        <v/>
      </c>
      <c r="N42" s="280"/>
      <c r="O42" s="233"/>
    </row>
    <row r="43" spans="1:15" ht="15" thickBot="1" x14ac:dyDescent="0.25">
      <c r="A43" s="261"/>
      <c r="C43" s="229"/>
      <c r="D43" s="285" t="str">
        <f>IF(CHCI_PLNIC&lt;&gt;"",CHCI_PLNIC,"")</f>
        <v/>
      </c>
      <c r="E43" s="285"/>
      <c r="F43" s="285"/>
      <c r="G43" s="285"/>
      <c r="H43" s="285"/>
      <c r="I43" s="273" t="str">
        <f>IF(POCET_PLNIC&lt;&gt;"",POCET_PLNIC,"")</f>
        <v/>
      </c>
      <c r="J43" s="257" t="str">
        <f>I43</f>
        <v/>
      </c>
      <c r="K43" s="284" t="str">
        <f>IFERROR(VLOOKUP($D43,CENA_PLNICE,2,0)*PLNIC_poru,"")</f>
        <v/>
      </c>
      <c r="L43" s="284"/>
      <c r="M43" s="284" t="str">
        <f>IFERROR(VLOOKUP($D43,CENA_PLNICE,3,0)*PLNIC_poru,"")</f>
        <v/>
      </c>
      <c r="N43" s="284"/>
      <c r="O43" s="233"/>
    </row>
    <row r="44" spans="1:15" ht="15.75" customHeight="1" thickTop="1" x14ac:dyDescent="0.2">
      <c r="A44" s="261"/>
      <c r="C44" s="231"/>
      <c r="D44" s="286" t="s">
        <v>293</v>
      </c>
      <c r="E44" s="287"/>
      <c r="F44" s="287"/>
      <c r="G44" s="287"/>
      <c r="H44" s="268" t="s">
        <v>286</v>
      </c>
      <c r="I44" s="258"/>
      <c r="J44" s="258"/>
      <c r="K44" s="283" t="str">
        <f>IF(SUM(K38:L43)&gt;0,SUM(K38:L43),"")</f>
        <v/>
      </c>
      <c r="L44" s="283"/>
      <c r="M44" s="283" t="str">
        <f>IF(SUM(M38:N43)&gt;0,SUM(M38:N43),"")</f>
        <v/>
      </c>
      <c r="N44" s="283"/>
      <c r="O44" s="259"/>
    </row>
    <row r="45" spans="1:15" ht="30.75" customHeight="1" x14ac:dyDescent="0.2">
      <c r="D45" s="339" t="s">
        <v>294</v>
      </c>
      <c r="E45" s="339"/>
      <c r="F45" s="339"/>
      <c r="G45" s="339"/>
      <c r="H45" s="339"/>
      <c r="I45" s="339"/>
      <c r="J45" s="339"/>
      <c r="K45" s="339"/>
      <c r="L45" s="339"/>
      <c r="M45" s="339"/>
      <c r="N45" s="339"/>
    </row>
    <row r="46" spans="1:15" x14ac:dyDescent="0.2">
      <c r="A46" s="261"/>
    </row>
    <row r="47" spans="1:15" x14ac:dyDescent="0.2">
      <c r="A47" s="261"/>
    </row>
    <row r="48" spans="1:15" x14ac:dyDescent="0.2">
      <c r="A48" s="261"/>
    </row>
    <row r="49" spans="1:16" x14ac:dyDescent="0.2">
      <c r="A49" s="261"/>
    </row>
    <row r="50" spans="1:16" x14ac:dyDescent="0.2">
      <c r="A50" s="261"/>
    </row>
    <row r="51" spans="1:16" x14ac:dyDescent="0.2">
      <c r="A51" s="263"/>
    </row>
    <row r="52" spans="1:16" x14ac:dyDescent="0.2">
      <c r="O52" s="228"/>
      <c r="P52" s="228"/>
    </row>
    <row r="53" spans="1:16" x14ac:dyDescent="0.2">
      <c r="O53" s="228"/>
      <c r="P53" s="228"/>
    </row>
    <row r="54" spans="1:16" x14ac:dyDescent="0.2">
      <c r="O54" s="228"/>
      <c r="P54" s="228"/>
    </row>
    <row r="55" spans="1:16" x14ac:dyDescent="0.2">
      <c r="O55" s="228"/>
      <c r="P55" s="228"/>
    </row>
    <row r="56" spans="1:16" x14ac:dyDescent="0.2">
      <c r="O56" s="228"/>
      <c r="P56" s="228"/>
    </row>
    <row r="57" spans="1:16" x14ac:dyDescent="0.2">
      <c r="O57" s="228"/>
      <c r="P57" s="228"/>
    </row>
    <row r="58" spans="1:16" x14ac:dyDescent="0.2">
      <c r="O58" s="228"/>
      <c r="P58" s="228"/>
    </row>
    <row r="59" spans="1:16" x14ac:dyDescent="0.2">
      <c r="O59" s="228"/>
      <c r="P59" s="228"/>
    </row>
    <row r="60" spans="1:16" x14ac:dyDescent="0.2">
      <c r="O60" s="228"/>
      <c r="P60" s="228"/>
    </row>
    <row r="61" spans="1:16" x14ac:dyDescent="0.2">
      <c r="O61" s="228"/>
      <c r="P61" s="228"/>
    </row>
    <row r="62" spans="1:16" x14ac:dyDescent="0.2">
      <c r="O62" s="228"/>
      <c r="P62" s="228"/>
    </row>
    <row r="63" spans="1:16" x14ac:dyDescent="0.2">
      <c r="O63" s="228"/>
      <c r="P63" s="228"/>
    </row>
    <row r="64" spans="1:16" x14ac:dyDescent="0.2">
      <c r="O64" s="228"/>
      <c r="P64" s="228"/>
    </row>
    <row r="65" spans="15:16" x14ac:dyDescent="0.2">
      <c r="O65" s="228"/>
      <c r="P65" s="228"/>
    </row>
    <row r="66" spans="15:16" x14ac:dyDescent="0.2">
      <c r="O66" s="228"/>
      <c r="P66" s="228"/>
    </row>
    <row r="67" spans="15:16" x14ac:dyDescent="0.2">
      <c r="O67" s="228"/>
      <c r="P67" s="228"/>
    </row>
    <row r="68" spans="15:16" x14ac:dyDescent="0.2">
      <c r="O68" s="228"/>
      <c r="P68" s="228"/>
    </row>
    <row r="69" spans="15:16" x14ac:dyDescent="0.2">
      <c r="O69" s="228"/>
      <c r="P69" s="228"/>
    </row>
    <row r="70" spans="15:16" x14ac:dyDescent="0.2">
      <c r="O70" s="228"/>
      <c r="P70" s="228"/>
    </row>
    <row r="71" spans="15:16" x14ac:dyDescent="0.2">
      <c r="O71" s="228"/>
      <c r="P71" s="228"/>
    </row>
    <row r="72" spans="15:16" x14ac:dyDescent="0.2">
      <c r="O72" s="228"/>
      <c r="P72" s="228"/>
    </row>
    <row r="73" spans="15:16" x14ac:dyDescent="0.2">
      <c r="O73" s="228"/>
      <c r="P73" s="228"/>
    </row>
    <row r="74" spans="15:16" x14ac:dyDescent="0.2">
      <c r="O74" s="228"/>
      <c r="P74" s="228"/>
    </row>
    <row r="75" spans="15:16" x14ac:dyDescent="0.2">
      <c r="O75" s="228"/>
      <c r="P75" s="228"/>
    </row>
    <row r="76" spans="15:16" x14ac:dyDescent="0.2">
      <c r="O76" s="228"/>
      <c r="P76" s="228"/>
    </row>
    <row r="77" spans="15:16" x14ac:dyDescent="0.2">
      <c r="O77" s="228"/>
      <c r="P77" s="228"/>
    </row>
    <row r="78" spans="15:16" x14ac:dyDescent="0.2">
      <c r="O78" s="228"/>
      <c r="P78" s="228"/>
    </row>
    <row r="79" spans="15:16" x14ac:dyDescent="0.2">
      <c r="O79" s="228"/>
      <c r="P79" s="228"/>
    </row>
    <row r="80" spans="15:16" x14ac:dyDescent="0.2">
      <c r="O80" s="228"/>
      <c r="P80" s="228"/>
    </row>
    <row r="81" spans="15:16" x14ac:dyDescent="0.2">
      <c r="O81" s="228"/>
      <c r="P81" s="228"/>
    </row>
    <row r="82" spans="15:16" x14ac:dyDescent="0.2">
      <c r="O82" s="228"/>
      <c r="P82" s="228"/>
    </row>
    <row r="83" spans="15:16" x14ac:dyDescent="0.2">
      <c r="O83" s="228"/>
      <c r="P83" s="228"/>
    </row>
    <row r="84" spans="15:16" x14ac:dyDescent="0.2">
      <c r="O84" s="228"/>
      <c r="P84" s="228"/>
    </row>
    <row r="85" spans="15:16" x14ac:dyDescent="0.2">
      <c r="O85" s="228"/>
      <c r="P85" s="228"/>
    </row>
    <row r="86" spans="15:16" x14ac:dyDescent="0.2">
      <c r="O86" s="228"/>
      <c r="P86" s="228"/>
    </row>
    <row r="87" spans="15:16" x14ac:dyDescent="0.2">
      <c r="O87" s="228"/>
      <c r="P87" s="228"/>
    </row>
    <row r="88" spans="15:16" x14ac:dyDescent="0.2">
      <c r="O88" s="228"/>
      <c r="P88" s="228"/>
    </row>
  </sheetData>
  <sheetProtection sheet="1" selectLockedCells="1"/>
  <mergeCells count="92">
    <mergeCell ref="D45:N45"/>
    <mergeCell ref="I22:N22"/>
    <mergeCell ref="I24:N24"/>
    <mergeCell ref="D23:H23"/>
    <mergeCell ref="P2:P4"/>
    <mergeCell ref="D22:H22"/>
    <mergeCell ref="D9:H9"/>
    <mergeCell ref="D10:H10"/>
    <mergeCell ref="J9:M9"/>
    <mergeCell ref="D21:H21"/>
    <mergeCell ref="I15:N15"/>
    <mergeCell ref="D15:H15"/>
    <mergeCell ref="I16:K16"/>
    <mergeCell ref="L16:N16"/>
    <mergeCell ref="D16:H16"/>
    <mergeCell ref="I18:N18"/>
    <mergeCell ref="D28:H28"/>
    <mergeCell ref="I20:N20"/>
    <mergeCell ref="J28:M28"/>
    <mergeCell ref="D31:H31"/>
    <mergeCell ref="I31:N31"/>
    <mergeCell ref="D29:H29"/>
    <mergeCell ref="D24:H24"/>
    <mergeCell ref="F25:J25"/>
    <mergeCell ref="G26:J26"/>
    <mergeCell ref="D27:H27"/>
    <mergeCell ref="J27:M27"/>
    <mergeCell ref="E18:H18"/>
    <mergeCell ref="E20:H20"/>
    <mergeCell ref="D17:H17"/>
    <mergeCell ref="D19:H19"/>
    <mergeCell ref="I23:N23"/>
    <mergeCell ref="J10:M10"/>
    <mergeCell ref="P11:P14"/>
    <mergeCell ref="D3:H3"/>
    <mergeCell ref="D14:H14"/>
    <mergeCell ref="D6:N6"/>
    <mergeCell ref="I13:N13"/>
    <mergeCell ref="D11:H11"/>
    <mergeCell ref="I12:N12"/>
    <mergeCell ref="D12:H12"/>
    <mergeCell ref="I11:N11"/>
    <mergeCell ref="I14:K14"/>
    <mergeCell ref="L14:N14"/>
    <mergeCell ref="H7:N7"/>
    <mergeCell ref="D8:G8"/>
    <mergeCell ref="H8:N8"/>
    <mergeCell ref="D13:H13"/>
    <mergeCell ref="D5:N5"/>
    <mergeCell ref="D2:H2"/>
    <mergeCell ref="I3:N3"/>
    <mergeCell ref="D1:H1"/>
    <mergeCell ref="I1:N1"/>
    <mergeCell ref="I2:N2"/>
    <mergeCell ref="D34:H34"/>
    <mergeCell ref="I34:K34"/>
    <mergeCell ref="L34:N34"/>
    <mergeCell ref="I29:N29"/>
    <mergeCell ref="D30:H30"/>
    <mergeCell ref="I30:N30"/>
    <mergeCell ref="L32:N32"/>
    <mergeCell ref="D33:H33"/>
    <mergeCell ref="I33:N33"/>
    <mergeCell ref="D32:H32"/>
    <mergeCell ref="I32:K32"/>
    <mergeCell ref="K39:L39"/>
    <mergeCell ref="D36:D37"/>
    <mergeCell ref="K38:L38"/>
    <mergeCell ref="K40:L40"/>
    <mergeCell ref="E36:N36"/>
    <mergeCell ref="K44:L44"/>
    <mergeCell ref="M44:N44"/>
    <mergeCell ref="K43:L43"/>
    <mergeCell ref="M43:N43"/>
    <mergeCell ref="D43:H43"/>
    <mergeCell ref="D44:G44"/>
    <mergeCell ref="D42:H42"/>
    <mergeCell ref="F38:G38"/>
    <mergeCell ref="K37:L37"/>
    <mergeCell ref="M42:N42"/>
    <mergeCell ref="I37:J37"/>
    <mergeCell ref="K42:L42"/>
    <mergeCell ref="F39:G39"/>
    <mergeCell ref="M37:N37"/>
    <mergeCell ref="M38:N38"/>
    <mergeCell ref="K41:L41"/>
    <mergeCell ref="F37:G37"/>
    <mergeCell ref="D40:H40"/>
    <mergeCell ref="D41:H41"/>
    <mergeCell ref="M39:N39"/>
    <mergeCell ref="M40:N40"/>
    <mergeCell ref="M41:N41"/>
  </mergeCells>
  <conditionalFormatting sqref="P24">
    <cfRule type="expression" dxfId="16" priority="18">
      <formula>AND(MID(MOJE_FRAKCE,1,1)&lt;&gt;"2",$D$24&lt;&gt;"")</formula>
    </cfRule>
  </conditionalFormatting>
  <conditionalFormatting sqref="P10">
    <cfRule type="expression" dxfId="15" priority="17">
      <formula>AND(MID(MOJE_FRAKCE,1,1)&lt;&gt;"2",$P$10&lt;&gt;"")</formula>
    </cfRule>
  </conditionalFormatting>
  <conditionalFormatting sqref="D6:N6">
    <cfRule type="expression" dxfId="14" priority="16">
      <formula>$D$6:$N$6=""</formula>
    </cfRule>
  </conditionalFormatting>
  <conditionalFormatting sqref="H8:N8">
    <cfRule type="expression" dxfId="13" priority="15">
      <formula>$H$8:$N$8=""</formula>
    </cfRule>
  </conditionalFormatting>
  <conditionalFormatting sqref="D10:H10">
    <cfRule type="expression" dxfId="12" priority="14">
      <formula>CISLO_RADKU=""</formula>
    </cfRule>
  </conditionalFormatting>
  <conditionalFormatting sqref="D12:H12">
    <cfRule type="expression" dxfId="11" priority="13">
      <formula>VYBRANA_TLOUSTKA=""</formula>
    </cfRule>
  </conditionalFormatting>
  <conditionalFormatting sqref="D14:H14">
    <cfRule type="expression" dxfId="10" priority="12">
      <formula>ZADANA_PLOCHA=""</formula>
    </cfRule>
  </conditionalFormatting>
  <conditionalFormatting sqref="D18:H18">
    <cfRule type="expression" dxfId="9" priority="4">
      <formula>CHCI_PENETRACI=FALSE</formula>
    </cfRule>
    <cfRule type="expression" dxfId="8" priority="11">
      <formula>CHCI_PENETRACI=""</formula>
    </cfRule>
  </conditionalFormatting>
  <conditionalFormatting sqref="D24:H24">
    <cfRule type="expression" dxfId="7" priority="8">
      <formula>$D$24:$H$24=""</formula>
    </cfRule>
  </conditionalFormatting>
  <conditionalFormatting sqref="D28:H28">
    <cfRule type="expression" dxfId="6" priority="7">
      <formula>RADEK_SVISLA_PLOCHA=""</formula>
    </cfRule>
  </conditionalFormatting>
  <conditionalFormatting sqref="D30:H30">
    <cfRule type="expression" dxfId="5" priority="6">
      <formula>VYBRANA_TLOUSTKA_SVISLA=""</formula>
    </cfRule>
  </conditionalFormatting>
  <conditionalFormatting sqref="D32:H32">
    <cfRule type="expression" dxfId="4" priority="5">
      <formula>ZADANA_svisla_PLOCHA=""</formula>
    </cfRule>
  </conditionalFormatting>
  <conditionalFormatting sqref="D20:H20">
    <cfRule type="expression" dxfId="3" priority="2">
      <formula>CHCI_POSYP=FALSE</formula>
    </cfRule>
    <cfRule type="expression" dxfId="2" priority="3">
      <formula>CHCI_POSYP=""</formula>
    </cfRule>
  </conditionalFormatting>
  <conditionalFormatting sqref="D22:H22">
    <cfRule type="expression" dxfId="1" priority="1">
      <formula>CHCI_HYDROIZOLACI=FALSE</formula>
    </cfRule>
    <cfRule type="expression" dxfId="0" priority="9">
      <formula>CHCI_HYDROIZOLACI=""</formula>
    </cfRule>
  </conditionalFormatting>
  <dataValidations count="4">
    <dataValidation type="decimal" allowBlank="1" showInputMessage="1" showErrorMessage="1" sqref="D14:H14 D32:H32">
      <formula1>0</formula1>
      <formula2>10000</formula2>
    </dataValidation>
    <dataValidation type="list" allowBlank="1" showInputMessage="1" showErrorMessage="1" sqref="D6">
      <formula1>DRUH_PROSTORU</formula1>
    </dataValidation>
    <dataValidation type="list" allowBlank="1" showInputMessage="1" showErrorMessage="1" sqref="D24">
      <formula1>SEZNAM_PLNICU</formula1>
    </dataValidation>
    <dataValidation type="list" allowBlank="1" showInputMessage="1" showErrorMessage="1" sqref="H8:N8">
      <formula1>DRUH_KOBERCE</formula1>
    </dataValidation>
  </dataValidations>
  <hyperlinks>
    <hyperlink ref="D1" r:id="rId1" display="https://eshop.jkkamen.cz/"/>
    <hyperlink ref="D2" r:id="rId2"/>
    <hyperlink ref="D1:H1" r:id="rId3" display="eshop.jkkamen.cz"/>
  </hyperlinks>
  <pageMargins left="0.19685039370078741" right="0.11811023622047245" top="0.39370078740157483" bottom="0.39370078740157483" header="0.31496062992125984" footer="0.39370078740157483"/>
  <pageSetup paperSize="9" scale="98" orientation="portrait" horizontalDpi="300" verticalDpi="300" r:id="rId4"/>
  <headerFooter>
    <oddFooter>&amp;L
&amp;D&amp;C
&amp;F&amp;R&amp;10
pulkrabkova@jkkamen.cz    
+420 774 520 626</oddFooter>
  </headerFooter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3</xdr:col>
                    <xdr:colOff>390525</xdr:colOff>
                    <xdr:row>18</xdr:row>
                    <xdr:rowOff>142875</xdr:rowOff>
                  </from>
                  <to>
                    <xdr:col>7</xdr:col>
                    <xdr:colOff>342900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Drop Down 13">
              <controlPr defaultSize="0" autoLine="0" autoPict="0">
                <anchor moveWithCells="1">
                  <from>
                    <xdr:col>3</xdr:col>
                    <xdr:colOff>95250</xdr:colOff>
                    <xdr:row>9</xdr:row>
                    <xdr:rowOff>66675</xdr:rowOff>
                  </from>
                  <to>
                    <xdr:col>7</xdr:col>
                    <xdr:colOff>114300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9" name="Drop Down 33">
              <controlPr defaultSize="0" autoLine="0" autoPict="0">
                <anchor moveWithCells="1">
                  <from>
                    <xdr:col>3</xdr:col>
                    <xdr:colOff>95250</xdr:colOff>
                    <xdr:row>27</xdr:row>
                    <xdr:rowOff>66675</xdr:rowOff>
                  </from>
                  <to>
                    <xdr:col>7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Option Button 8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876300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Option Button 9">
              <controlPr defaultSize="0" autoFill="0" autoLine="0" autoPict="0">
                <anchor moveWithCells="1">
                  <from>
                    <xdr:col>4</xdr:col>
                    <xdr:colOff>152400</xdr:colOff>
                    <xdr:row>11</xdr:row>
                    <xdr:rowOff>19050</xdr:rowOff>
                  </from>
                  <to>
                    <xdr:col>5</xdr:col>
                    <xdr:colOff>209550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Option Button 10">
              <controlPr defaultSize="0" autoFill="0" autoLine="0" autoPict="0">
                <anchor moveWithCells="1">
                  <from>
                    <xdr:col>5</xdr:col>
                    <xdr:colOff>409575</xdr:colOff>
                    <xdr:row>11</xdr:row>
                    <xdr:rowOff>19050</xdr:rowOff>
                  </from>
                  <to>
                    <xdr:col>6</xdr:col>
                    <xdr:colOff>466725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Option Button 11">
              <controlPr defaultSize="0" autoFill="0" autoLine="0" autoPict="0">
                <anchor moveWithCells="1">
                  <from>
                    <xdr:col>6</xdr:col>
                    <xdr:colOff>495300</xdr:colOff>
                    <xdr:row>11</xdr:row>
                    <xdr:rowOff>19050</xdr:rowOff>
                  </from>
                  <to>
                    <xdr:col>7</xdr:col>
                    <xdr:colOff>552450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Group Box 12">
              <controlPr defaultSize="0" autoFill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8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5" name="Option Button 46">
              <controlPr defaultSize="0" autoFill="0" autoLine="0" autoPict="0">
                <anchor moveWithCells="1">
                  <from>
                    <xdr:col>3</xdr:col>
                    <xdr:colOff>247650</xdr:colOff>
                    <xdr:row>29</xdr:row>
                    <xdr:rowOff>19050</xdr:rowOff>
                  </from>
                  <to>
                    <xdr:col>3</xdr:col>
                    <xdr:colOff>781050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6" name="Option Button 47">
              <controlPr defaultSize="0" autoFill="0" autoLine="0" autoPict="0">
                <anchor moveWithCells="1">
                  <from>
                    <xdr:col>4</xdr:col>
                    <xdr:colOff>552450</xdr:colOff>
                    <xdr:row>29</xdr:row>
                    <xdr:rowOff>19050</xdr:rowOff>
                  </from>
                  <to>
                    <xdr:col>5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7" name="Option Button 48">
              <controlPr defaultSize="0" autoFill="0" autoLine="0" autoPict="0">
                <anchor moveWithCells="1">
                  <from>
                    <xdr:col>6</xdr:col>
                    <xdr:colOff>419100</xdr:colOff>
                    <xdr:row>29</xdr:row>
                    <xdr:rowOff>19050</xdr:rowOff>
                  </from>
                  <to>
                    <xdr:col>7</xdr:col>
                    <xdr:colOff>333375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8" name="Group Box 50">
              <controlPr defaultSize="0" autoFill="0" autoPict="0">
                <anchor moveWithCells="1">
                  <from>
                    <xdr:col>3</xdr:col>
                    <xdr:colOff>0</xdr:colOff>
                    <xdr:row>29</xdr:row>
                    <xdr:rowOff>0</xdr:rowOff>
                  </from>
                  <to>
                    <xdr:col>8</xdr:col>
                    <xdr:colOff>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3</xdr:col>
                    <xdr:colOff>390525</xdr:colOff>
                    <xdr:row>21</xdr:row>
                    <xdr:rowOff>9525</xdr:rowOff>
                  </from>
                  <to>
                    <xdr:col>7</xdr:col>
                    <xdr:colOff>342900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20" name="Check Box 15">
              <controlPr defaultSize="0" autoFill="0" autoLine="0" autoPict="0">
                <anchor moveWithCells="1">
                  <from>
                    <xdr:col>3</xdr:col>
                    <xdr:colOff>390525</xdr:colOff>
                    <xdr:row>16</xdr:row>
                    <xdr:rowOff>171450</xdr:rowOff>
                  </from>
                  <to>
                    <xdr:col>7</xdr:col>
                    <xdr:colOff>342900</xdr:colOff>
                    <xdr:row>18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8"/>
  <sheetViews>
    <sheetView topLeftCell="L1" workbookViewId="0">
      <selection activeCell="P32" sqref="P32"/>
    </sheetView>
  </sheetViews>
  <sheetFormatPr defaultRowHeight="15" x14ac:dyDescent="0.25"/>
  <cols>
    <col min="4" max="4" width="15.28515625" bestFit="1" customWidth="1"/>
    <col min="8" max="9" width="9.140625" customWidth="1"/>
    <col min="10" max="10" width="15.28515625" style="210" bestFit="1" customWidth="1"/>
    <col min="12" max="13" width="29.140625" customWidth="1"/>
    <col min="14" max="17" width="24.85546875" style="189" customWidth="1"/>
    <col min="18" max="18" width="93.140625" bestFit="1" customWidth="1"/>
  </cols>
  <sheetData>
    <row r="1" spans="1:18" x14ac:dyDescent="0.25">
      <c r="A1" s="167" t="s">
        <v>211</v>
      </c>
      <c r="B1" s="211"/>
      <c r="C1" s="211"/>
      <c r="D1" s="211"/>
      <c r="E1" s="211"/>
      <c r="G1" s="344" t="s">
        <v>274</v>
      </c>
      <c r="H1" s="344"/>
      <c r="I1" s="344"/>
      <c r="J1" s="344"/>
      <c r="L1" s="168" t="s">
        <v>220</v>
      </c>
      <c r="M1" s="168" t="s">
        <v>221</v>
      </c>
      <c r="N1" s="168" t="s">
        <v>135</v>
      </c>
      <c r="O1" s="212" t="s">
        <v>269</v>
      </c>
      <c r="P1" s="218" t="s">
        <v>252</v>
      </c>
      <c r="Q1" s="219" t="s">
        <v>253</v>
      </c>
      <c r="R1" s="168" t="s">
        <v>285</v>
      </c>
    </row>
    <row r="2" spans="1:18" ht="15.75" x14ac:dyDescent="0.25">
      <c r="A2" t="s">
        <v>207</v>
      </c>
      <c r="G2" s="167" t="s">
        <v>10</v>
      </c>
      <c r="H2" s="167" t="s">
        <v>11</v>
      </c>
      <c r="I2" s="167" t="s">
        <v>102</v>
      </c>
      <c r="J2" s="168" t="s">
        <v>213</v>
      </c>
      <c r="L2" s="185">
        <v>0.25</v>
      </c>
      <c r="M2" s="185">
        <v>0.2</v>
      </c>
      <c r="N2" s="190">
        <v>1</v>
      </c>
      <c r="O2" s="213" t="s">
        <v>246</v>
      </c>
      <c r="P2" s="216">
        <v>360.3</v>
      </c>
      <c r="Q2" s="217">
        <f>P2*1.21</f>
        <v>435.96300000000002</v>
      </c>
      <c r="R2" s="189" t="s">
        <v>284</v>
      </c>
    </row>
    <row r="3" spans="1:18" ht="15.75" x14ac:dyDescent="0.25">
      <c r="A3" t="s">
        <v>208</v>
      </c>
      <c r="G3" s="169">
        <v>224204</v>
      </c>
      <c r="H3" s="38" t="s">
        <v>35</v>
      </c>
      <c r="I3" s="39" t="s">
        <v>26</v>
      </c>
      <c r="J3" s="184" t="str">
        <f t="shared" ref="J3:J34" si="0">I3&amp;" "&amp;H3</f>
        <v>2-4 ALTAELVA</v>
      </c>
      <c r="O3" s="214" t="s">
        <v>247</v>
      </c>
      <c r="P3" s="216">
        <v>393.4</v>
      </c>
      <c r="Q3" s="217">
        <f>P3*1.21</f>
        <v>476.01399999999995</v>
      </c>
      <c r="R3" t="s">
        <v>283</v>
      </c>
    </row>
    <row r="4" spans="1:18" ht="16.5" thickBot="1" x14ac:dyDescent="0.3">
      <c r="G4" s="169">
        <v>247204</v>
      </c>
      <c r="H4" s="38" t="s">
        <v>35</v>
      </c>
      <c r="I4" s="39" t="s">
        <v>32</v>
      </c>
      <c r="J4" s="184" t="str">
        <f t="shared" si="0"/>
        <v>4-7 ALTAELVA</v>
      </c>
      <c r="O4" s="215" t="s">
        <v>249</v>
      </c>
      <c r="P4" s="220">
        <v>623.1</v>
      </c>
      <c r="Q4" s="221">
        <f>P4*1.21</f>
        <v>753.95100000000002</v>
      </c>
    </row>
    <row r="5" spans="1:18" ht="15.75" thickBot="1" x14ac:dyDescent="0.3">
      <c r="A5" s="344" t="s">
        <v>275</v>
      </c>
      <c r="B5" s="344"/>
      <c r="C5" s="344"/>
      <c r="D5" s="344"/>
      <c r="G5" s="169">
        <v>224332</v>
      </c>
      <c r="H5" s="38" t="s">
        <v>71</v>
      </c>
      <c r="I5" s="39" t="s">
        <v>26</v>
      </c>
      <c r="J5" s="184" t="str">
        <f t="shared" si="0"/>
        <v>2-4 ANDENES</v>
      </c>
    </row>
    <row r="6" spans="1:18" x14ac:dyDescent="0.25">
      <c r="A6" s="167" t="s">
        <v>10</v>
      </c>
      <c r="B6" s="167" t="s">
        <v>11</v>
      </c>
      <c r="C6" s="167" t="s">
        <v>102</v>
      </c>
      <c r="D6" s="168" t="s">
        <v>213</v>
      </c>
      <c r="G6" s="169">
        <v>247332</v>
      </c>
      <c r="H6" s="38" t="s">
        <v>71</v>
      </c>
      <c r="I6" s="39" t="s">
        <v>32</v>
      </c>
      <c r="J6" s="184" t="str">
        <f t="shared" si="0"/>
        <v>4-7 ANDENES</v>
      </c>
      <c r="O6" s="212" t="s">
        <v>11</v>
      </c>
      <c r="P6" s="218" t="s">
        <v>252</v>
      </c>
      <c r="Q6" s="219" t="s">
        <v>253</v>
      </c>
    </row>
    <row r="7" spans="1:18" ht="15.75" x14ac:dyDescent="0.25">
      <c r="A7" s="169">
        <v>224204</v>
      </c>
      <c r="B7" s="38" t="s">
        <v>35</v>
      </c>
      <c r="C7" s="39" t="s">
        <v>26</v>
      </c>
      <c r="D7" s="184" t="str">
        <f t="shared" ref="D7:D38" si="1">C7&amp;" "&amp;B7</f>
        <v>2-4 ALTAELVA</v>
      </c>
      <c r="G7" s="169">
        <v>224102</v>
      </c>
      <c r="H7" s="38" t="s">
        <v>25</v>
      </c>
      <c r="I7" s="39" t="s">
        <v>26</v>
      </c>
      <c r="J7" s="184" t="str">
        <f t="shared" si="0"/>
        <v>2-4 AQUA</v>
      </c>
      <c r="O7" s="213" t="s">
        <v>119</v>
      </c>
      <c r="P7" s="216">
        <v>371.9</v>
      </c>
      <c r="Q7" s="217">
        <v>450</v>
      </c>
    </row>
    <row r="8" spans="1:18" ht="16.5" thickBot="1" x14ac:dyDescent="0.3">
      <c r="A8" s="169">
        <v>224332</v>
      </c>
      <c r="B8" s="38" t="s">
        <v>71</v>
      </c>
      <c r="C8" s="39" t="s">
        <v>26</v>
      </c>
      <c r="D8" s="184" t="str">
        <f t="shared" si="1"/>
        <v>2-4 ANDENES</v>
      </c>
      <c r="G8" s="169">
        <v>224215</v>
      </c>
      <c r="H8" s="38" t="s">
        <v>44</v>
      </c>
      <c r="I8" s="39" t="s">
        <v>26</v>
      </c>
      <c r="J8" s="184" t="str">
        <f t="shared" si="0"/>
        <v>2-4 ARENDAL</v>
      </c>
      <c r="O8" s="215" t="s">
        <v>120</v>
      </c>
      <c r="P8" s="220">
        <v>81.8</v>
      </c>
      <c r="Q8" s="221">
        <v>99</v>
      </c>
    </row>
    <row r="9" spans="1:18" ht="15.75" thickBot="1" x14ac:dyDescent="0.3">
      <c r="A9" s="169">
        <v>224102</v>
      </c>
      <c r="B9" s="38" t="s">
        <v>25</v>
      </c>
      <c r="C9" s="39" t="s">
        <v>26</v>
      </c>
      <c r="D9" s="184" t="str">
        <f t="shared" si="1"/>
        <v>2-4 AQUA</v>
      </c>
      <c r="G9" s="169">
        <v>247215</v>
      </c>
      <c r="H9" s="38" t="s">
        <v>44</v>
      </c>
      <c r="I9" s="39" t="s">
        <v>32</v>
      </c>
      <c r="J9" s="184" t="str">
        <f t="shared" si="0"/>
        <v>4-7 ARENDAL</v>
      </c>
      <c r="P9"/>
      <c r="Q9"/>
    </row>
    <row r="10" spans="1:18" x14ac:dyDescent="0.25">
      <c r="A10" s="169">
        <v>224215</v>
      </c>
      <c r="B10" s="38" t="s">
        <v>44</v>
      </c>
      <c r="C10" s="39" t="s">
        <v>26</v>
      </c>
      <c r="D10" s="184" t="str">
        <f t="shared" si="1"/>
        <v>2-4 ARENDAL</v>
      </c>
      <c r="G10" s="169">
        <v>224306</v>
      </c>
      <c r="H10" s="38" t="s">
        <v>51</v>
      </c>
      <c r="I10" s="39" t="s">
        <v>26</v>
      </c>
      <c r="J10" s="184" t="str">
        <f t="shared" si="0"/>
        <v>2-4 ASKER</v>
      </c>
      <c r="O10" s="212" t="s">
        <v>11</v>
      </c>
      <c r="P10" s="218" t="s">
        <v>252</v>
      </c>
      <c r="Q10" s="219" t="s">
        <v>253</v>
      </c>
    </row>
    <row r="11" spans="1:18" ht="16.5" thickBot="1" x14ac:dyDescent="0.3">
      <c r="A11" s="169">
        <v>224306</v>
      </c>
      <c r="B11" s="38" t="s">
        <v>51</v>
      </c>
      <c r="C11" s="39" t="s">
        <v>26</v>
      </c>
      <c r="D11" s="184" t="str">
        <f t="shared" si="1"/>
        <v>2-4 ASKER</v>
      </c>
      <c r="G11" s="169">
        <v>247306</v>
      </c>
      <c r="H11" s="38" t="s">
        <v>51</v>
      </c>
      <c r="I11" s="39" t="s">
        <v>32</v>
      </c>
      <c r="J11" s="184" t="str">
        <f t="shared" si="0"/>
        <v>4-7 ASKER</v>
      </c>
      <c r="O11" s="222" t="s">
        <v>135</v>
      </c>
      <c r="P11" s="220">
        <v>309.89999999999998</v>
      </c>
      <c r="Q11" s="221">
        <f>P11*1.21</f>
        <v>374.97899999999998</v>
      </c>
    </row>
    <row r="12" spans="1:18" x14ac:dyDescent="0.25">
      <c r="A12" s="169">
        <v>224339</v>
      </c>
      <c r="B12" s="38" t="s">
        <v>77</v>
      </c>
      <c r="C12" s="39" t="s">
        <v>26</v>
      </c>
      <c r="D12" s="184" t="str">
        <f t="shared" si="1"/>
        <v>2-4 BALLSTAD</v>
      </c>
      <c r="G12" s="169">
        <v>224339</v>
      </c>
      <c r="H12" s="38" t="s">
        <v>77</v>
      </c>
      <c r="I12" s="39" t="s">
        <v>26</v>
      </c>
      <c r="J12" s="184" t="str">
        <f t="shared" si="0"/>
        <v>2-4 BALLSTAD</v>
      </c>
    </row>
    <row r="13" spans="1:18" x14ac:dyDescent="0.25">
      <c r="A13" s="169">
        <v>224328</v>
      </c>
      <c r="B13" s="38" t="s">
        <v>67</v>
      </c>
      <c r="C13" s="39" t="s">
        <v>26</v>
      </c>
      <c r="D13" s="184" t="str">
        <f t="shared" si="1"/>
        <v>2-4 BARDUFOSS</v>
      </c>
      <c r="G13" s="169">
        <v>247339</v>
      </c>
      <c r="H13" s="38" t="s">
        <v>77</v>
      </c>
      <c r="I13" s="39" t="s">
        <v>32</v>
      </c>
      <c r="J13" s="184" t="str">
        <f t="shared" si="0"/>
        <v>4-7 BALLSTAD</v>
      </c>
    </row>
    <row r="14" spans="1:18" x14ac:dyDescent="0.25">
      <c r="A14" s="169">
        <v>224355</v>
      </c>
      <c r="B14" s="38" t="s">
        <v>88</v>
      </c>
      <c r="C14" s="39" t="s">
        <v>26</v>
      </c>
      <c r="D14" s="184" t="str">
        <f t="shared" si="1"/>
        <v>2-4 BEIAR</v>
      </c>
      <c r="G14" s="169">
        <v>224328</v>
      </c>
      <c r="H14" s="38" t="s">
        <v>67</v>
      </c>
      <c r="I14" s="39" t="s">
        <v>26</v>
      </c>
      <c r="J14" s="184" t="str">
        <f t="shared" si="0"/>
        <v>2-4 BARDUFOSS</v>
      </c>
    </row>
    <row r="15" spans="1:18" ht="15.75" thickBot="1" x14ac:dyDescent="0.3">
      <c r="A15" s="169">
        <v>224364</v>
      </c>
      <c r="B15" s="38" t="s">
        <v>97</v>
      </c>
      <c r="C15" s="39" t="s">
        <v>26</v>
      </c>
      <c r="D15" s="184" t="str">
        <f t="shared" si="1"/>
        <v>2-4 BOVRA</v>
      </c>
      <c r="G15" s="169">
        <v>247328</v>
      </c>
      <c r="H15" s="38" t="s">
        <v>67</v>
      </c>
      <c r="I15" s="39" t="s">
        <v>32</v>
      </c>
      <c r="J15" s="184" t="str">
        <f t="shared" si="0"/>
        <v>4-7 BARDUFOSS</v>
      </c>
    </row>
    <row r="16" spans="1:18" ht="15.75" thickBot="1" x14ac:dyDescent="0.3">
      <c r="A16" s="169">
        <v>224362</v>
      </c>
      <c r="B16" s="38" t="s">
        <v>95</v>
      </c>
      <c r="C16" s="39" t="s">
        <v>26</v>
      </c>
      <c r="D16" s="184" t="str">
        <f t="shared" si="1"/>
        <v>2-4 DALSNIBBA</v>
      </c>
      <c r="G16" s="169">
        <v>224355</v>
      </c>
      <c r="H16" s="38" t="s">
        <v>88</v>
      </c>
      <c r="I16" s="39" t="s">
        <v>26</v>
      </c>
      <c r="J16" s="184" t="str">
        <f t="shared" si="0"/>
        <v>2-4 BEIAR</v>
      </c>
      <c r="L16" s="209" t="s">
        <v>267</v>
      </c>
      <c r="M16" s="94" t="s">
        <v>102</v>
      </c>
      <c r="N16" s="95" t="s">
        <v>250</v>
      </c>
      <c r="O16" s="95" t="s">
        <v>251</v>
      </c>
      <c r="P16" s="95" t="s">
        <v>252</v>
      </c>
      <c r="Q16" s="96" t="s">
        <v>253</v>
      </c>
    </row>
    <row r="17" spans="1:18" ht="16.5" thickBot="1" x14ac:dyDescent="0.3">
      <c r="A17" s="169">
        <v>224305</v>
      </c>
      <c r="B17" s="38" t="s">
        <v>50</v>
      </c>
      <c r="C17" s="39" t="s">
        <v>26</v>
      </c>
      <c r="D17" s="184" t="str">
        <f t="shared" si="1"/>
        <v>2-4 DRAMMEN</v>
      </c>
      <c r="G17" s="169">
        <v>247355</v>
      </c>
      <c r="H17" s="38" t="s">
        <v>88</v>
      </c>
      <c r="I17" s="39" t="s">
        <v>32</v>
      </c>
      <c r="J17" s="184" t="str">
        <f t="shared" si="0"/>
        <v>4-7 BEIAR</v>
      </c>
      <c r="L17" s="186" t="s">
        <v>255</v>
      </c>
      <c r="M17" s="97" t="s">
        <v>26</v>
      </c>
      <c r="N17" s="191">
        <v>1</v>
      </c>
      <c r="O17" s="192">
        <f>1/N17</f>
        <v>1</v>
      </c>
      <c r="P17" s="193">
        <v>360.3</v>
      </c>
      <c r="Q17" s="194">
        <f>P17*1.21</f>
        <v>435.96300000000002</v>
      </c>
      <c r="R17" s="1" t="s">
        <v>107</v>
      </c>
    </row>
    <row r="18" spans="1:18" ht="16.5" thickBot="1" x14ac:dyDescent="0.3">
      <c r="A18" s="169">
        <v>224363</v>
      </c>
      <c r="B18" s="38" t="s">
        <v>96</v>
      </c>
      <c r="C18" s="39" t="s">
        <v>26</v>
      </c>
      <c r="D18" s="184" t="str">
        <f t="shared" si="1"/>
        <v>2-4 DRIVA</v>
      </c>
      <c r="G18" s="169">
        <v>224364</v>
      </c>
      <c r="H18" s="38" t="s">
        <v>97</v>
      </c>
      <c r="I18" s="39" t="s">
        <v>26</v>
      </c>
      <c r="J18" s="184" t="str">
        <f t="shared" si="0"/>
        <v>2-4 BOVRA</v>
      </c>
      <c r="L18" s="186" t="s">
        <v>256</v>
      </c>
      <c r="M18" s="97" t="s">
        <v>108</v>
      </c>
      <c r="N18" s="191">
        <v>0.9</v>
      </c>
      <c r="O18" s="192">
        <f>1/N18</f>
        <v>1.1111111111111112</v>
      </c>
      <c r="P18" s="193">
        <v>360.3</v>
      </c>
      <c r="Q18" s="194">
        <f>P18*1.21</f>
        <v>435.96300000000002</v>
      </c>
      <c r="R18" s="1" t="s">
        <v>107</v>
      </c>
    </row>
    <row r="19" spans="1:18" ht="16.5" thickBot="1" x14ac:dyDescent="0.3">
      <c r="A19" s="169">
        <v>224352</v>
      </c>
      <c r="B19" s="38" t="s">
        <v>86</v>
      </c>
      <c r="C19" s="39" t="s">
        <v>26</v>
      </c>
      <c r="D19" s="184" t="str">
        <f t="shared" si="1"/>
        <v>2-4 DROBAK</v>
      </c>
      <c r="G19" s="169">
        <v>247364</v>
      </c>
      <c r="H19" s="38" t="s">
        <v>97</v>
      </c>
      <c r="I19" s="39" t="s">
        <v>32</v>
      </c>
      <c r="J19" s="184" t="str">
        <f t="shared" si="0"/>
        <v>4-7 BOVRA</v>
      </c>
      <c r="L19" s="186" t="s">
        <v>257</v>
      </c>
      <c r="M19" s="99" t="s">
        <v>28</v>
      </c>
      <c r="N19" s="195">
        <v>0.8</v>
      </c>
      <c r="O19" s="196">
        <f>1/N19</f>
        <v>1.25</v>
      </c>
      <c r="P19" s="197">
        <v>360.3</v>
      </c>
      <c r="Q19" s="198">
        <f>P19*1.21</f>
        <v>435.96300000000002</v>
      </c>
      <c r="R19" s="1" t="s">
        <v>107</v>
      </c>
    </row>
    <row r="20" spans="1:18" x14ac:dyDescent="0.25">
      <c r="A20" s="169">
        <v>224330</v>
      </c>
      <c r="B20" s="38" t="s">
        <v>69</v>
      </c>
      <c r="C20" s="39" t="s">
        <v>26</v>
      </c>
      <c r="D20" s="184" t="str">
        <f t="shared" si="1"/>
        <v>2-4 FAGERNES</v>
      </c>
      <c r="G20" s="169">
        <v>224362</v>
      </c>
      <c r="H20" s="38" t="s">
        <v>95</v>
      </c>
      <c r="I20" s="39" t="s">
        <v>26</v>
      </c>
      <c r="J20" s="184" t="str">
        <f t="shared" si="0"/>
        <v>2-4 DALSNIBBA</v>
      </c>
    </row>
    <row r="21" spans="1:18" ht="15.75" thickBot="1" x14ac:dyDescent="0.3">
      <c r="A21" s="169">
        <v>224323</v>
      </c>
      <c r="B21" s="38" t="s">
        <v>63</v>
      </c>
      <c r="C21" s="39" t="s">
        <v>26</v>
      </c>
      <c r="D21" s="184" t="str">
        <f t="shared" si="1"/>
        <v>2-4 FAUSKE</v>
      </c>
      <c r="G21" s="169">
        <v>247362</v>
      </c>
      <c r="H21" s="38" t="s">
        <v>95</v>
      </c>
      <c r="I21" s="39" t="s">
        <v>32</v>
      </c>
      <c r="J21" s="184" t="str">
        <f t="shared" si="0"/>
        <v>4-7 DALSNIBBA</v>
      </c>
      <c r="L21" s="1"/>
      <c r="M21" s="1"/>
      <c r="N21" s="188"/>
      <c r="O21" s="188"/>
      <c r="P21" s="188"/>
      <c r="Q21" s="188"/>
      <c r="R21" s="1"/>
    </row>
    <row r="22" spans="1:18" ht="15.75" thickBot="1" x14ac:dyDescent="0.3">
      <c r="A22" s="169">
        <v>224333</v>
      </c>
      <c r="B22" s="38" t="s">
        <v>72</v>
      </c>
      <c r="C22" s="39" t="s">
        <v>26</v>
      </c>
      <c r="D22" s="184" t="str">
        <f t="shared" si="1"/>
        <v>2-4 FISKENES</v>
      </c>
      <c r="G22" s="169">
        <v>224305</v>
      </c>
      <c r="H22" s="38" t="s">
        <v>50</v>
      </c>
      <c r="I22" s="39" t="s">
        <v>26</v>
      </c>
      <c r="J22" s="184" t="str">
        <f t="shared" si="0"/>
        <v>2-4 DRAMMEN</v>
      </c>
      <c r="L22" s="209" t="s">
        <v>247</v>
      </c>
      <c r="M22" s="94" t="s">
        <v>102</v>
      </c>
      <c r="N22" s="95" t="s">
        <v>250</v>
      </c>
      <c r="O22" s="95" t="s">
        <v>251</v>
      </c>
      <c r="P22" s="95" t="s">
        <v>252</v>
      </c>
      <c r="Q22" s="96" t="s">
        <v>253</v>
      </c>
      <c r="R22" s="1"/>
    </row>
    <row r="23" spans="1:18" ht="16.5" thickBot="1" x14ac:dyDescent="0.3">
      <c r="A23" s="169">
        <v>224210</v>
      </c>
      <c r="B23" s="38" t="s">
        <v>40</v>
      </c>
      <c r="C23" s="39" t="s">
        <v>26</v>
      </c>
      <c r="D23" s="184" t="str">
        <f t="shared" si="1"/>
        <v>2-4 FLAM</v>
      </c>
      <c r="G23" s="169">
        <v>247305</v>
      </c>
      <c r="H23" s="38" t="s">
        <v>50</v>
      </c>
      <c r="I23" s="39" t="s">
        <v>32</v>
      </c>
      <c r="J23" s="184" t="str">
        <f t="shared" si="0"/>
        <v>4-7 DRAMMEN</v>
      </c>
      <c r="L23" s="187" t="s">
        <v>258</v>
      </c>
      <c r="M23" s="97" t="s">
        <v>26</v>
      </c>
      <c r="N23" s="191">
        <v>0.83</v>
      </c>
      <c r="O23" s="192">
        <f>1/N23</f>
        <v>1.2048192771084338</v>
      </c>
      <c r="P23" s="193">
        <v>393.4</v>
      </c>
      <c r="Q23" s="194">
        <f>P23*1.21</f>
        <v>476.01399999999995</v>
      </c>
      <c r="R23" s="1" t="s">
        <v>110</v>
      </c>
    </row>
    <row r="24" spans="1:18" ht="16.5" thickBot="1" x14ac:dyDescent="0.3">
      <c r="A24" s="169">
        <v>224350</v>
      </c>
      <c r="B24" s="38" t="s">
        <v>84</v>
      </c>
      <c r="C24" s="39" t="s">
        <v>26</v>
      </c>
      <c r="D24" s="184" t="str">
        <f t="shared" si="1"/>
        <v>2-4 GEILO</v>
      </c>
      <c r="G24" s="169">
        <v>224363</v>
      </c>
      <c r="H24" s="38" t="s">
        <v>96</v>
      </c>
      <c r="I24" s="39" t="s">
        <v>26</v>
      </c>
      <c r="J24" s="184" t="str">
        <f t="shared" si="0"/>
        <v>2-4 DRIVA</v>
      </c>
      <c r="L24" s="187" t="s">
        <v>259</v>
      </c>
      <c r="M24" s="97" t="s">
        <v>108</v>
      </c>
      <c r="N24" s="191">
        <v>0.75</v>
      </c>
      <c r="O24" s="192">
        <f>1/N24</f>
        <v>1.3333333333333333</v>
      </c>
      <c r="P24" s="193">
        <v>393.4</v>
      </c>
      <c r="Q24" s="194">
        <f>P24*1.21</f>
        <v>476.01399999999995</v>
      </c>
      <c r="R24" s="1" t="s">
        <v>110</v>
      </c>
    </row>
    <row r="25" spans="1:18" ht="16.5" thickBot="1" x14ac:dyDescent="0.3">
      <c r="A25" s="169">
        <v>224201</v>
      </c>
      <c r="B25" s="38" t="s">
        <v>31</v>
      </c>
      <c r="C25" s="39" t="s">
        <v>26</v>
      </c>
      <c r="D25" s="184" t="str">
        <f t="shared" si="1"/>
        <v>2-4 GLOMNA</v>
      </c>
      <c r="G25" s="169">
        <v>247363</v>
      </c>
      <c r="H25" s="38" t="s">
        <v>96</v>
      </c>
      <c r="I25" s="39" t="s">
        <v>32</v>
      </c>
      <c r="J25" s="184" t="str">
        <f t="shared" si="0"/>
        <v>4-7 DRIVA</v>
      </c>
      <c r="L25" s="187" t="s">
        <v>260</v>
      </c>
      <c r="M25" s="99" t="s">
        <v>28</v>
      </c>
      <c r="N25" s="195">
        <v>0.67</v>
      </c>
      <c r="O25" s="196">
        <f>1/N25</f>
        <v>1.4925373134328357</v>
      </c>
      <c r="P25" s="197">
        <v>393.4</v>
      </c>
      <c r="Q25" s="198">
        <f>P25*1.21</f>
        <v>476.01399999999995</v>
      </c>
      <c r="R25" s="1" t="s">
        <v>110</v>
      </c>
    </row>
    <row r="26" spans="1:18" x14ac:dyDescent="0.25">
      <c r="A26" s="169">
        <v>224324</v>
      </c>
      <c r="B26" s="38" t="s">
        <v>64</v>
      </c>
      <c r="C26" s="39" t="s">
        <v>26</v>
      </c>
      <c r="D26" s="184" t="str">
        <f t="shared" si="1"/>
        <v>2-4 GRONG</v>
      </c>
      <c r="G26" s="169">
        <v>224352</v>
      </c>
      <c r="H26" s="38" t="s">
        <v>86</v>
      </c>
      <c r="I26" s="39" t="s">
        <v>26</v>
      </c>
      <c r="J26" s="184" t="str">
        <f t="shared" si="0"/>
        <v>2-4 DROBAK</v>
      </c>
      <c r="L26" s="1"/>
      <c r="M26" s="1"/>
      <c r="N26" s="188"/>
      <c r="O26" s="188"/>
      <c r="P26" s="188"/>
      <c r="Q26" s="188"/>
      <c r="R26" s="1"/>
    </row>
    <row r="27" spans="1:18" ht="15.75" thickBot="1" x14ac:dyDescent="0.3">
      <c r="A27" s="169">
        <v>224331</v>
      </c>
      <c r="B27" s="38" t="s">
        <v>70</v>
      </c>
      <c r="C27" s="39" t="s">
        <v>26</v>
      </c>
      <c r="D27" s="184" t="str">
        <f t="shared" si="1"/>
        <v>2-4 GRYLLEFJORD</v>
      </c>
      <c r="G27" s="169">
        <v>247352</v>
      </c>
      <c r="H27" s="38" t="s">
        <v>86</v>
      </c>
      <c r="I27" s="39" t="s">
        <v>32</v>
      </c>
      <c r="J27" s="184" t="str">
        <f t="shared" si="0"/>
        <v>4-7 DROBAK</v>
      </c>
      <c r="L27" s="1"/>
      <c r="M27" s="1"/>
      <c r="N27" s="188"/>
      <c r="O27" s="188"/>
      <c r="P27" s="188"/>
      <c r="Q27" s="188"/>
      <c r="R27" s="1"/>
    </row>
    <row r="28" spans="1:18" ht="15.75" thickBot="1" x14ac:dyDescent="0.3">
      <c r="A28" s="169">
        <v>224310</v>
      </c>
      <c r="B28" s="38" t="s">
        <v>55</v>
      </c>
      <c r="C28" s="39" t="s">
        <v>26</v>
      </c>
      <c r="D28" s="184" t="str">
        <f t="shared" si="1"/>
        <v>2-4 HAMAR</v>
      </c>
      <c r="G28" s="169">
        <v>228103</v>
      </c>
      <c r="H28" s="38" t="s">
        <v>27</v>
      </c>
      <c r="I28" s="39" t="s">
        <v>28</v>
      </c>
      <c r="J28" s="184" t="str">
        <f t="shared" si="0"/>
        <v>2-8 DUNAJ</v>
      </c>
      <c r="L28" s="209" t="s">
        <v>249</v>
      </c>
      <c r="M28" s="94" t="s">
        <v>102</v>
      </c>
      <c r="N28" s="95" t="s">
        <v>250</v>
      </c>
      <c r="O28" s="95" t="s">
        <v>251</v>
      </c>
      <c r="P28" s="95" t="s">
        <v>252</v>
      </c>
      <c r="Q28" s="96" t="s">
        <v>253</v>
      </c>
      <c r="R28" s="1"/>
    </row>
    <row r="29" spans="1:18" ht="16.5" thickBot="1" x14ac:dyDescent="0.3">
      <c r="A29" s="169">
        <v>224342</v>
      </c>
      <c r="B29" s="38" t="s">
        <v>80</v>
      </c>
      <c r="C29" s="39" t="s">
        <v>26</v>
      </c>
      <c r="D29" s="184" t="str">
        <f t="shared" si="1"/>
        <v>2-4 HARSTAD</v>
      </c>
      <c r="G29" s="169">
        <v>224330</v>
      </c>
      <c r="H29" s="38" t="s">
        <v>69</v>
      </c>
      <c r="I29" s="39" t="s">
        <v>26</v>
      </c>
      <c r="J29" s="184" t="str">
        <f t="shared" si="0"/>
        <v>2-4 FAGERNES</v>
      </c>
      <c r="L29" s="187" t="s">
        <v>261</v>
      </c>
      <c r="M29" s="97" t="s">
        <v>26</v>
      </c>
      <c r="N29" s="191">
        <v>1</v>
      </c>
      <c r="O29" s="192">
        <f>1/N29</f>
        <v>1</v>
      </c>
      <c r="P29" s="193">
        <v>623.1</v>
      </c>
      <c r="Q29" s="194">
        <f>P29*1.21</f>
        <v>753.95100000000002</v>
      </c>
      <c r="R29" s="188" t="s">
        <v>248</v>
      </c>
    </row>
    <row r="30" spans="1:18" ht="16.5" thickBot="1" x14ac:dyDescent="0.3">
      <c r="A30" s="169">
        <v>247322</v>
      </c>
      <c r="B30" s="38" t="s">
        <v>62</v>
      </c>
      <c r="C30" s="39" t="s">
        <v>26</v>
      </c>
      <c r="D30" s="184" t="str">
        <f t="shared" si="1"/>
        <v>2-4 KIRKENES</v>
      </c>
      <c r="G30" s="169">
        <v>247330</v>
      </c>
      <c r="H30" s="38" t="s">
        <v>69</v>
      </c>
      <c r="I30" s="39" t="s">
        <v>32</v>
      </c>
      <c r="J30" s="184" t="str">
        <f t="shared" si="0"/>
        <v>4-7 FAGERNES</v>
      </c>
      <c r="L30" s="187" t="s">
        <v>262</v>
      </c>
      <c r="M30" s="97" t="s">
        <v>108</v>
      </c>
      <c r="N30" s="191">
        <v>1</v>
      </c>
      <c r="O30" s="192">
        <f>1/N30</f>
        <v>1</v>
      </c>
      <c r="P30" s="193">
        <v>623.1</v>
      </c>
      <c r="Q30" s="194">
        <f>P30*1.21</f>
        <v>753.95100000000002</v>
      </c>
      <c r="R30" s="188" t="s">
        <v>248</v>
      </c>
    </row>
    <row r="31" spans="1:18" ht="16.5" thickBot="1" x14ac:dyDescent="0.3">
      <c r="A31" s="169">
        <v>224304</v>
      </c>
      <c r="B31" s="38" t="s">
        <v>49</v>
      </c>
      <c r="C31" s="39" t="s">
        <v>26</v>
      </c>
      <c r="D31" s="184" t="str">
        <f t="shared" si="1"/>
        <v>2-4 KONGSBERG</v>
      </c>
      <c r="G31" s="169">
        <v>224323</v>
      </c>
      <c r="H31" s="38" t="s">
        <v>63</v>
      </c>
      <c r="I31" s="39" t="s">
        <v>26</v>
      </c>
      <c r="J31" s="184" t="str">
        <f t="shared" si="0"/>
        <v>2-4 FAUSKE</v>
      </c>
      <c r="L31" s="187" t="s">
        <v>263</v>
      </c>
      <c r="M31" s="99" t="s">
        <v>28</v>
      </c>
      <c r="N31" s="195">
        <v>1</v>
      </c>
      <c r="O31" s="196">
        <f>1/N31</f>
        <v>1</v>
      </c>
      <c r="P31" s="197">
        <v>623.1</v>
      </c>
      <c r="Q31" s="198">
        <f>P31*1.21</f>
        <v>753.95100000000002</v>
      </c>
      <c r="R31" s="188" t="s">
        <v>248</v>
      </c>
    </row>
    <row r="32" spans="1:18" ht="15.75" thickBot="1" x14ac:dyDescent="0.3">
      <c r="A32" s="169">
        <v>224325</v>
      </c>
      <c r="B32" s="38" t="s">
        <v>65</v>
      </c>
      <c r="C32" s="39" t="s">
        <v>26</v>
      </c>
      <c r="D32" s="184" t="str">
        <f t="shared" si="1"/>
        <v>2-4 KORGEN</v>
      </c>
      <c r="G32" s="169">
        <v>247323</v>
      </c>
      <c r="H32" s="38" t="s">
        <v>63</v>
      </c>
      <c r="I32" s="39" t="s">
        <v>32</v>
      </c>
      <c r="J32" s="184" t="str">
        <f t="shared" si="0"/>
        <v>4-7 FAUSKE</v>
      </c>
      <c r="L32" s="1"/>
      <c r="M32" s="1"/>
      <c r="N32" s="188"/>
      <c r="O32" s="188"/>
      <c r="P32" s="188"/>
      <c r="Q32" s="188"/>
      <c r="R32" s="1"/>
    </row>
    <row r="33" spans="1:18" ht="15.75" thickBot="1" x14ac:dyDescent="0.3">
      <c r="A33" s="169">
        <v>224308</v>
      </c>
      <c r="B33" s="38" t="s">
        <v>53</v>
      </c>
      <c r="C33" s="39" t="s">
        <v>26</v>
      </c>
      <c r="D33" s="184" t="str">
        <f t="shared" si="1"/>
        <v>2-4 KRISTIANSAND</v>
      </c>
      <c r="G33" s="169">
        <v>224333</v>
      </c>
      <c r="H33" s="38" t="s">
        <v>72</v>
      </c>
      <c r="I33" s="39" t="s">
        <v>26</v>
      </c>
      <c r="J33" s="184" t="str">
        <f t="shared" si="0"/>
        <v>2-4 FISKENES</v>
      </c>
      <c r="L33" s="209" t="s">
        <v>270</v>
      </c>
      <c r="M33" s="94" t="s">
        <v>102</v>
      </c>
      <c r="N33" s="95" t="s">
        <v>250</v>
      </c>
      <c r="O33" s="95" t="s">
        <v>251</v>
      </c>
      <c r="P33" s="95" t="s">
        <v>252</v>
      </c>
      <c r="Q33" s="96" t="s">
        <v>253</v>
      </c>
      <c r="R33" s="188"/>
    </row>
    <row r="34" spans="1:18" ht="15.75" thickBot="1" x14ac:dyDescent="0.3">
      <c r="A34" s="169">
        <v>224338</v>
      </c>
      <c r="B34" s="38" t="s">
        <v>76</v>
      </c>
      <c r="C34" s="39" t="s">
        <v>26</v>
      </c>
      <c r="D34" s="184" t="str">
        <f t="shared" si="1"/>
        <v>2-4 KRYSTAD</v>
      </c>
      <c r="G34" s="169">
        <v>247333</v>
      </c>
      <c r="H34" s="38" t="s">
        <v>72</v>
      </c>
      <c r="I34" s="39" t="s">
        <v>32</v>
      </c>
      <c r="J34" s="184" t="str">
        <f t="shared" si="0"/>
        <v>4-7 FISKENES</v>
      </c>
      <c r="L34" s="187"/>
      <c r="M34" s="199" t="s">
        <v>30</v>
      </c>
      <c r="N34" s="201" t="s">
        <v>254</v>
      </c>
      <c r="O34" s="202" t="s">
        <v>254</v>
      </c>
      <c r="P34" s="202" t="s">
        <v>254</v>
      </c>
      <c r="Q34" s="203" t="s">
        <v>254</v>
      </c>
      <c r="R34" s="1" t="str">
        <f>"Na frakci " &amp; M34 &amp; " se nedopručuje použití plniče pórů z důvodu vysoké spotřeby."</f>
        <v>Na frakci 3-6 se nedopručuje použití plniče pórů z důvodu vysoké spotřeby.</v>
      </c>
    </row>
    <row r="35" spans="1:18" ht="15.75" thickBot="1" x14ac:dyDescent="0.3">
      <c r="A35" s="169">
        <v>224359</v>
      </c>
      <c r="B35" s="38" t="s">
        <v>92</v>
      </c>
      <c r="C35" s="39" t="s">
        <v>26</v>
      </c>
      <c r="D35" s="184" t="str">
        <f t="shared" si="1"/>
        <v>2-4 KVINA</v>
      </c>
      <c r="G35" s="169">
        <v>224210</v>
      </c>
      <c r="H35" s="38" t="s">
        <v>40</v>
      </c>
      <c r="I35" s="39" t="s">
        <v>26</v>
      </c>
      <c r="J35" s="184" t="str">
        <f t="shared" ref="J35:J66" si="2">I35&amp;" "&amp;H35</f>
        <v>2-4 FLAM</v>
      </c>
      <c r="L35" s="187"/>
      <c r="M35" s="199" t="s">
        <v>32</v>
      </c>
      <c r="N35" s="201" t="s">
        <v>254</v>
      </c>
      <c r="O35" s="202" t="s">
        <v>254</v>
      </c>
      <c r="P35" s="202" t="s">
        <v>254</v>
      </c>
      <c r="Q35" s="203" t="s">
        <v>254</v>
      </c>
      <c r="R35" s="1" t="str">
        <f>"Na frakci " &amp; M35 &amp; " se nedopručuje použití plniče pórů z důvodu vysoké spotřeby."</f>
        <v>Na frakci 4-7 se nedopručuje použití plniče pórů z důvodu vysoké spotřeby.</v>
      </c>
    </row>
    <row r="36" spans="1:18" ht="15.75" thickBot="1" x14ac:dyDescent="0.3">
      <c r="A36" s="169">
        <v>224303</v>
      </c>
      <c r="B36" s="38" t="s">
        <v>48</v>
      </c>
      <c r="C36" s="39" t="s">
        <v>26</v>
      </c>
      <c r="D36" s="184" t="str">
        <f t="shared" si="1"/>
        <v>2-4 LARVIK</v>
      </c>
      <c r="G36" s="169">
        <v>247210</v>
      </c>
      <c r="H36" s="38" t="s">
        <v>40</v>
      </c>
      <c r="I36" s="39" t="s">
        <v>32</v>
      </c>
      <c r="J36" s="184" t="str">
        <f t="shared" si="2"/>
        <v>4-7 FLAM</v>
      </c>
      <c r="L36" s="187"/>
      <c r="M36" s="200" t="s">
        <v>23</v>
      </c>
      <c r="N36" s="204" t="s">
        <v>254</v>
      </c>
      <c r="O36" s="204" t="s">
        <v>254</v>
      </c>
      <c r="P36" s="204" t="s">
        <v>254</v>
      </c>
      <c r="Q36" s="205" t="s">
        <v>254</v>
      </c>
      <c r="R36" s="1" t="str">
        <f>"Na frakci " &amp; M36 &amp; " se nedopručuje použití plniče pórů z důvodu vysoké spotřeby."</f>
        <v>Na frakci 4-8 se nedopručuje použití plniče pórů z důvodu vysoké spotřeby.</v>
      </c>
    </row>
    <row r="37" spans="1:18" x14ac:dyDescent="0.25">
      <c r="A37" s="169">
        <v>224301</v>
      </c>
      <c r="B37" s="38" t="s">
        <v>47</v>
      </c>
      <c r="C37" s="39" t="s">
        <v>26</v>
      </c>
      <c r="D37" s="184" t="str">
        <f t="shared" si="1"/>
        <v>2-4 LASKEVL</v>
      </c>
      <c r="G37" s="169">
        <v>224350</v>
      </c>
      <c r="H37" s="38" t="s">
        <v>84</v>
      </c>
      <c r="I37" s="39" t="s">
        <v>26</v>
      </c>
      <c r="J37" s="184" t="str">
        <f t="shared" si="2"/>
        <v>2-4 GEILO</v>
      </c>
    </row>
    <row r="38" spans="1:18" x14ac:dyDescent="0.25">
      <c r="A38" s="169">
        <v>224340</v>
      </c>
      <c r="B38" s="38" t="s">
        <v>78</v>
      </c>
      <c r="C38" s="39" t="s">
        <v>26</v>
      </c>
      <c r="D38" s="184" t="str">
        <f t="shared" si="1"/>
        <v>2-4 LEKNES</v>
      </c>
      <c r="G38" s="169">
        <v>247350</v>
      </c>
      <c r="H38" s="38" t="s">
        <v>84</v>
      </c>
      <c r="I38" s="39" t="s">
        <v>32</v>
      </c>
      <c r="J38" s="184" t="str">
        <f t="shared" si="2"/>
        <v>4-7 GEILO</v>
      </c>
    </row>
    <row r="39" spans="1:18" x14ac:dyDescent="0.25">
      <c r="A39" s="169">
        <v>224313</v>
      </c>
      <c r="B39" s="38" t="s">
        <v>57</v>
      </c>
      <c r="C39" s="39" t="s">
        <v>26</v>
      </c>
      <c r="D39" s="184" t="str">
        <f t="shared" ref="D39:D70" si="3">C39&amp;" "&amp;B39</f>
        <v>2-4 LOM</v>
      </c>
      <c r="G39" s="169">
        <v>224201</v>
      </c>
      <c r="H39" s="38" t="s">
        <v>31</v>
      </c>
      <c r="I39" s="39" t="s">
        <v>26</v>
      </c>
      <c r="J39" s="184" t="str">
        <f t="shared" si="2"/>
        <v>2-4 GLOMNA</v>
      </c>
    </row>
    <row r="40" spans="1:18" x14ac:dyDescent="0.25">
      <c r="A40" s="169">
        <v>224317</v>
      </c>
      <c r="B40" s="38" t="s">
        <v>61</v>
      </c>
      <c r="C40" s="39" t="s">
        <v>26</v>
      </c>
      <c r="D40" s="184" t="str">
        <f t="shared" si="3"/>
        <v>2-4 MO I RANA</v>
      </c>
      <c r="G40" s="169">
        <v>247201</v>
      </c>
      <c r="H40" s="38" t="s">
        <v>31</v>
      </c>
      <c r="I40" s="39" t="s">
        <v>32</v>
      </c>
      <c r="J40" s="184" t="str">
        <f t="shared" si="2"/>
        <v>4-7 GLOMNA</v>
      </c>
    </row>
    <row r="41" spans="1:18" x14ac:dyDescent="0.25">
      <c r="A41" s="169">
        <v>224329</v>
      </c>
      <c r="B41" s="38" t="s">
        <v>68</v>
      </c>
      <c r="C41" s="39" t="s">
        <v>26</v>
      </c>
      <c r="D41" s="184" t="str">
        <f t="shared" si="3"/>
        <v>2-4 MOEN</v>
      </c>
      <c r="G41" s="169">
        <v>224324</v>
      </c>
      <c r="H41" s="38" t="s">
        <v>64</v>
      </c>
      <c r="I41" s="39" t="s">
        <v>26</v>
      </c>
      <c r="J41" s="184" t="str">
        <f t="shared" si="2"/>
        <v>2-4 GRONG</v>
      </c>
    </row>
    <row r="42" spans="1:18" x14ac:dyDescent="0.25">
      <c r="A42" s="169">
        <v>224214</v>
      </c>
      <c r="B42" s="38" t="s">
        <v>43</v>
      </c>
      <c r="C42" s="39" t="s">
        <v>26</v>
      </c>
      <c r="D42" s="184" t="str">
        <f t="shared" si="3"/>
        <v>2-4 MOLDE</v>
      </c>
      <c r="G42" s="169">
        <v>247324</v>
      </c>
      <c r="H42" s="38" t="s">
        <v>64</v>
      </c>
      <c r="I42" s="39" t="s">
        <v>32</v>
      </c>
      <c r="J42" s="184" t="str">
        <f t="shared" si="2"/>
        <v>4-7 GRONG</v>
      </c>
    </row>
    <row r="43" spans="1:18" x14ac:dyDescent="0.25">
      <c r="A43" s="169">
        <v>224351</v>
      </c>
      <c r="B43" s="38" t="s">
        <v>85</v>
      </c>
      <c r="C43" s="39" t="s">
        <v>26</v>
      </c>
      <c r="D43" s="184" t="str">
        <f t="shared" si="3"/>
        <v>2-4 MOSJOEN</v>
      </c>
      <c r="G43" s="169">
        <v>224331</v>
      </c>
      <c r="H43" s="38" t="s">
        <v>70</v>
      </c>
      <c r="I43" s="39" t="s">
        <v>26</v>
      </c>
      <c r="J43" s="184" t="str">
        <f t="shared" si="2"/>
        <v>2-4 GRYLLEFJORD</v>
      </c>
    </row>
    <row r="44" spans="1:18" x14ac:dyDescent="0.25">
      <c r="A44" s="169">
        <v>224337</v>
      </c>
      <c r="B44" s="38" t="s">
        <v>75</v>
      </c>
      <c r="C44" s="39" t="s">
        <v>26</v>
      </c>
      <c r="D44" s="184" t="str">
        <f t="shared" si="3"/>
        <v>2-4 MOSKENES</v>
      </c>
      <c r="G44" s="169">
        <v>247331</v>
      </c>
      <c r="H44" s="38" t="s">
        <v>70</v>
      </c>
      <c r="I44" s="39" t="s">
        <v>32</v>
      </c>
      <c r="J44" s="184" t="str">
        <f t="shared" si="2"/>
        <v>4-7 GRYLLEFJORD</v>
      </c>
    </row>
    <row r="45" spans="1:18" x14ac:dyDescent="0.25">
      <c r="A45" s="169">
        <v>224353</v>
      </c>
      <c r="B45" s="38" t="s">
        <v>87</v>
      </c>
      <c r="C45" s="39" t="s">
        <v>26</v>
      </c>
      <c r="D45" s="184" t="str">
        <f t="shared" si="3"/>
        <v>2-4 MOSS</v>
      </c>
      <c r="G45" s="169">
        <v>224310</v>
      </c>
      <c r="H45" s="38" t="s">
        <v>55</v>
      </c>
      <c r="I45" s="39" t="s">
        <v>26</v>
      </c>
      <c r="J45" s="184" t="str">
        <f t="shared" si="2"/>
        <v>2-4 HAMAR</v>
      </c>
    </row>
    <row r="46" spans="1:18" x14ac:dyDescent="0.25">
      <c r="A46" s="169">
        <v>224205</v>
      </c>
      <c r="B46" s="38" t="s">
        <v>36</v>
      </c>
      <c r="C46" s="39" t="s">
        <v>26</v>
      </c>
      <c r="D46" s="184" t="str">
        <f t="shared" si="3"/>
        <v>2-4 NAMSEN</v>
      </c>
      <c r="G46" s="169">
        <v>247310</v>
      </c>
      <c r="H46" s="38" t="s">
        <v>55</v>
      </c>
      <c r="I46" s="39" t="s">
        <v>32</v>
      </c>
      <c r="J46" s="184" t="str">
        <f t="shared" si="2"/>
        <v>4-7 HAMAR</v>
      </c>
    </row>
    <row r="47" spans="1:18" x14ac:dyDescent="0.25">
      <c r="A47" s="169">
        <v>224316</v>
      </c>
      <c r="B47" s="38" t="s">
        <v>60</v>
      </c>
      <c r="C47" s="39" t="s">
        <v>26</v>
      </c>
      <c r="D47" s="184" t="str">
        <f t="shared" si="3"/>
        <v>2-4 NAMSOS</v>
      </c>
      <c r="G47" s="169">
        <v>224342</v>
      </c>
      <c r="H47" s="38" t="s">
        <v>80</v>
      </c>
      <c r="I47" s="39" t="s">
        <v>26</v>
      </c>
      <c r="J47" s="184" t="str">
        <f t="shared" si="2"/>
        <v>2-4 HARSTAD</v>
      </c>
    </row>
    <row r="48" spans="1:18" x14ac:dyDescent="0.25">
      <c r="A48" s="169">
        <v>224327</v>
      </c>
      <c r="B48" s="38" t="s">
        <v>66</v>
      </c>
      <c r="C48" s="39" t="s">
        <v>26</v>
      </c>
      <c r="D48" s="184" t="str">
        <f t="shared" si="3"/>
        <v>2-4 NARVIK</v>
      </c>
      <c r="G48" s="169">
        <v>247342</v>
      </c>
      <c r="H48" s="38" t="s">
        <v>80</v>
      </c>
      <c r="I48" s="39" t="s">
        <v>32</v>
      </c>
      <c r="J48" s="184" t="str">
        <f t="shared" si="2"/>
        <v>4-7 HARSTAD</v>
      </c>
    </row>
    <row r="49" spans="1:10" x14ac:dyDescent="0.25">
      <c r="A49" s="169">
        <v>224358</v>
      </c>
      <c r="B49" s="38" t="s">
        <v>91</v>
      </c>
      <c r="C49" s="39" t="s">
        <v>26</v>
      </c>
      <c r="D49" s="184" t="str">
        <f t="shared" si="3"/>
        <v>2-4 NEA</v>
      </c>
      <c r="G49" s="169">
        <v>247322</v>
      </c>
      <c r="H49" s="38" t="s">
        <v>62</v>
      </c>
      <c r="I49" s="39" t="s">
        <v>26</v>
      </c>
      <c r="J49" s="184" t="str">
        <f t="shared" si="2"/>
        <v>2-4 KIRKENES</v>
      </c>
    </row>
    <row r="50" spans="1:10" x14ac:dyDescent="0.25">
      <c r="A50" s="169">
        <v>224211</v>
      </c>
      <c r="B50" s="38" t="s">
        <v>41</v>
      </c>
      <c r="C50" s="39" t="s">
        <v>26</v>
      </c>
      <c r="D50" s="184" t="str">
        <f t="shared" si="3"/>
        <v>2-4 NIDELVA</v>
      </c>
      <c r="G50" s="169">
        <v>247322</v>
      </c>
      <c r="H50" s="38" t="s">
        <v>62</v>
      </c>
      <c r="I50" s="39" t="s">
        <v>32</v>
      </c>
      <c r="J50" s="184" t="str">
        <f t="shared" si="2"/>
        <v>4-7 KIRKENES</v>
      </c>
    </row>
    <row r="51" spans="1:10" x14ac:dyDescent="0.25">
      <c r="A51" s="169">
        <v>224334</v>
      </c>
      <c r="B51" s="38" t="s">
        <v>73</v>
      </c>
      <c r="C51" s="39" t="s">
        <v>26</v>
      </c>
      <c r="D51" s="184" t="str">
        <f t="shared" si="3"/>
        <v>2-4 NORDMELA</v>
      </c>
      <c r="G51" s="169">
        <v>224304</v>
      </c>
      <c r="H51" s="38" t="s">
        <v>49</v>
      </c>
      <c r="I51" s="39" t="s">
        <v>26</v>
      </c>
      <c r="J51" s="184" t="str">
        <f t="shared" si="2"/>
        <v>2-4 KONGSBERG</v>
      </c>
    </row>
    <row r="52" spans="1:10" x14ac:dyDescent="0.25">
      <c r="A52" s="169">
        <v>224206</v>
      </c>
      <c r="B52" s="38" t="s">
        <v>37</v>
      </c>
      <c r="C52" s="39" t="s">
        <v>26</v>
      </c>
      <c r="D52" s="184" t="str">
        <f t="shared" si="3"/>
        <v>2-4 ORKLA</v>
      </c>
      <c r="G52" s="169">
        <v>247304</v>
      </c>
      <c r="H52" s="38" t="s">
        <v>49</v>
      </c>
      <c r="I52" s="39" t="s">
        <v>32</v>
      </c>
      <c r="J52" s="184" t="str">
        <f t="shared" si="2"/>
        <v>4-7 KONGSBERG</v>
      </c>
    </row>
    <row r="53" spans="1:10" x14ac:dyDescent="0.25">
      <c r="A53" s="169">
        <v>224203</v>
      </c>
      <c r="B53" s="38" t="s">
        <v>34</v>
      </c>
      <c r="C53" s="39" t="s">
        <v>26</v>
      </c>
      <c r="D53" s="184" t="str">
        <f t="shared" si="3"/>
        <v>2-4 OTRA</v>
      </c>
      <c r="G53" s="169">
        <v>224325</v>
      </c>
      <c r="H53" s="38" t="s">
        <v>65</v>
      </c>
      <c r="I53" s="39" t="s">
        <v>26</v>
      </c>
      <c r="J53" s="184" t="str">
        <f t="shared" si="2"/>
        <v>2-4 KORGEN</v>
      </c>
    </row>
    <row r="54" spans="1:10" x14ac:dyDescent="0.25">
      <c r="A54" s="169">
        <v>224360</v>
      </c>
      <c r="B54" s="38" t="s">
        <v>93</v>
      </c>
      <c r="C54" s="39" t="s">
        <v>26</v>
      </c>
      <c r="D54" s="184" t="str">
        <f t="shared" si="3"/>
        <v>2-4 RANDSELVA</v>
      </c>
      <c r="G54" s="169">
        <v>247325</v>
      </c>
      <c r="H54" s="38" t="s">
        <v>65</v>
      </c>
      <c r="I54" s="39" t="s">
        <v>32</v>
      </c>
      <c r="J54" s="184" t="str">
        <f t="shared" si="2"/>
        <v>4-7 KORGEN</v>
      </c>
    </row>
    <row r="55" spans="1:10" x14ac:dyDescent="0.25">
      <c r="A55" s="169">
        <v>224357</v>
      </c>
      <c r="B55" s="38" t="s">
        <v>90</v>
      </c>
      <c r="C55" s="39" t="s">
        <v>26</v>
      </c>
      <c r="D55" s="184" t="str">
        <f t="shared" si="3"/>
        <v>2-4 RAUMU</v>
      </c>
      <c r="G55" s="169">
        <v>224308</v>
      </c>
      <c r="H55" s="38" t="s">
        <v>53</v>
      </c>
      <c r="I55" s="39" t="s">
        <v>26</v>
      </c>
      <c r="J55" s="184" t="str">
        <f t="shared" si="2"/>
        <v>2-4 KRISTIANSAND</v>
      </c>
    </row>
    <row r="56" spans="1:10" x14ac:dyDescent="0.25">
      <c r="A56" s="169">
        <v>224336</v>
      </c>
      <c r="B56" s="38" t="s">
        <v>74</v>
      </c>
      <c r="C56" s="39" t="s">
        <v>26</v>
      </c>
      <c r="D56" s="184" t="str">
        <f t="shared" si="3"/>
        <v>2-4 REINE</v>
      </c>
      <c r="G56" s="169">
        <v>247308</v>
      </c>
      <c r="H56" s="38" t="s">
        <v>53</v>
      </c>
      <c r="I56" s="39" t="s">
        <v>32</v>
      </c>
      <c r="J56" s="184" t="str">
        <f t="shared" si="2"/>
        <v>4-7 KRISTIANSAND</v>
      </c>
    </row>
    <row r="57" spans="1:10" x14ac:dyDescent="0.25">
      <c r="A57" s="169">
        <v>224361</v>
      </c>
      <c r="B57" s="38" t="s">
        <v>94</v>
      </c>
      <c r="C57" s="39" t="s">
        <v>26</v>
      </c>
      <c r="D57" s="184" t="str">
        <f t="shared" si="3"/>
        <v>2-4 RENA</v>
      </c>
      <c r="G57" s="169">
        <v>224338</v>
      </c>
      <c r="H57" s="38" t="s">
        <v>76</v>
      </c>
      <c r="I57" s="39" t="s">
        <v>26</v>
      </c>
      <c r="J57" s="184" t="str">
        <f t="shared" si="2"/>
        <v>2-4 KRYSTAD</v>
      </c>
    </row>
    <row r="58" spans="1:10" x14ac:dyDescent="0.25">
      <c r="A58" s="170">
        <v>224348</v>
      </c>
      <c r="B58" s="38" t="s">
        <v>82</v>
      </c>
      <c r="C58" s="39" t="s">
        <v>26</v>
      </c>
      <c r="D58" s="184" t="str">
        <f t="shared" si="3"/>
        <v>2-4 RJUKAN</v>
      </c>
      <c r="G58" s="169">
        <v>247338</v>
      </c>
      <c r="H58" s="38" t="s">
        <v>76</v>
      </c>
      <c r="I58" s="39" t="s">
        <v>32</v>
      </c>
      <c r="J58" s="184" t="str">
        <f t="shared" si="2"/>
        <v>4-7 KRYSTAD</v>
      </c>
    </row>
    <row r="59" spans="1:10" x14ac:dyDescent="0.25">
      <c r="A59" s="169">
        <v>224349</v>
      </c>
      <c r="B59" s="38" t="s">
        <v>83</v>
      </c>
      <c r="C59" s="39" t="s">
        <v>26</v>
      </c>
      <c r="D59" s="184" t="str">
        <f t="shared" si="3"/>
        <v>2-4 SANDNES</v>
      </c>
      <c r="G59" s="169">
        <v>224359</v>
      </c>
      <c r="H59" s="38" t="s">
        <v>92</v>
      </c>
      <c r="I59" s="39" t="s">
        <v>26</v>
      </c>
      <c r="J59" s="184" t="str">
        <f t="shared" si="2"/>
        <v>2-4 KVINA</v>
      </c>
    </row>
    <row r="60" spans="1:10" x14ac:dyDescent="0.25">
      <c r="A60" s="169">
        <v>224209</v>
      </c>
      <c r="B60" s="38" t="s">
        <v>39</v>
      </c>
      <c r="C60" s="39" t="s">
        <v>26</v>
      </c>
      <c r="D60" s="184" t="str">
        <f t="shared" si="3"/>
        <v>2-4 SIRA</v>
      </c>
      <c r="G60" s="169">
        <v>247359</v>
      </c>
      <c r="H60" s="38" t="s">
        <v>92</v>
      </c>
      <c r="I60" s="39" t="s">
        <v>32</v>
      </c>
      <c r="J60" s="184" t="str">
        <f t="shared" si="2"/>
        <v>4-7 KVINA</v>
      </c>
    </row>
    <row r="61" spans="1:10" x14ac:dyDescent="0.25">
      <c r="A61" s="170">
        <v>224218</v>
      </c>
      <c r="B61" s="38" t="s">
        <v>45</v>
      </c>
      <c r="C61" s="39" t="s">
        <v>26</v>
      </c>
      <c r="D61" s="184" t="str">
        <f t="shared" si="3"/>
        <v>2-4 SJOA</v>
      </c>
      <c r="G61" s="169">
        <v>248101</v>
      </c>
      <c r="H61" s="38" t="s">
        <v>22</v>
      </c>
      <c r="I61" s="39" t="s">
        <v>23</v>
      </c>
      <c r="J61" s="184" t="str">
        <f t="shared" si="2"/>
        <v>4-8 LABE</v>
      </c>
    </row>
    <row r="62" spans="1:10" x14ac:dyDescent="0.25">
      <c r="A62" s="169">
        <v>224307</v>
      </c>
      <c r="B62" s="38" t="s">
        <v>52</v>
      </c>
      <c r="C62" s="39" t="s">
        <v>26</v>
      </c>
      <c r="D62" s="184" t="str">
        <f t="shared" si="3"/>
        <v>2-4 SKIEN</v>
      </c>
      <c r="G62" s="169">
        <v>224303</v>
      </c>
      <c r="H62" s="38" t="s">
        <v>48</v>
      </c>
      <c r="I62" s="39" t="s">
        <v>26</v>
      </c>
      <c r="J62" s="184" t="str">
        <f t="shared" si="2"/>
        <v>2-4 LARVIK</v>
      </c>
    </row>
    <row r="63" spans="1:10" x14ac:dyDescent="0.25">
      <c r="A63" s="169">
        <v>224341</v>
      </c>
      <c r="B63" s="38" t="s">
        <v>79</v>
      </c>
      <c r="C63" s="39" t="s">
        <v>26</v>
      </c>
      <c r="D63" s="184" t="str">
        <f t="shared" si="3"/>
        <v>2-4 SKUTVIK</v>
      </c>
      <c r="G63" s="169">
        <v>247303</v>
      </c>
      <c r="H63" s="38" t="s">
        <v>48</v>
      </c>
      <c r="I63" s="39" t="s">
        <v>32</v>
      </c>
      <c r="J63" s="184" t="str">
        <f t="shared" si="2"/>
        <v>4-7 LARVIK</v>
      </c>
    </row>
    <row r="64" spans="1:10" x14ac:dyDescent="0.25">
      <c r="A64" s="170">
        <v>224220</v>
      </c>
      <c r="B64" s="38" t="s">
        <v>46</v>
      </c>
      <c r="C64" s="39" t="s">
        <v>26</v>
      </c>
      <c r="D64" s="184" t="str">
        <f t="shared" si="3"/>
        <v>2-4 SONGA</v>
      </c>
      <c r="G64" s="169">
        <v>224301</v>
      </c>
      <c r="H64" s="38" t="s">
        <v>47</v>
      </c>
      <c r="I64" s="39" t="s">
        <v>26</v>
      </c>
      <c r="J64" s="184" t="str">
        <f t="shared" si="2"/>
        <v>2-4 LASKEVL</v>
      </c>
    </row>
    <row r="65" spans="1:10" x14ac:dyDescent="0.25">
      <c r="A65" s="169">
        <v>224309</v>
      </c>
      <c r="B65" s="38" t="s">
        <v>54</v>
      </c>
      <c r="C65" s="39" t="s">
        <v>26</v>
      </c>
      <c r="D65" s="184" t="str">
        <f t="shared" si="3"/>
        <v>2-4 STAVANGER</v>
      </c>
      <c r="G65" s="169">
        <v>247301</v>
      </c>
      <c r="H65" s="38" t="s">
        <v>47</v>
      </c>
      <c r="I65" s="39" t="s">
        <v>32</v>
      </c>
      <c r="J65" s="184" t="str">
        <f t="shared" si="2"/>
        <v>4-7 LASKEVL</v>
      </c>
    </row>
    <row r="66" spans="1:10" x14ac:dyDescent="0.25">
      <c r="A66" s="169">
        <v>224315</v>
      </c>
      <c r="B66" s="38" t="s">
        <v>59</v>
      </c>
      <c r="C66" s="39" t="s">
        <v>26</v>
      </c>
      <c r="D66" s="184" t="str">
        <f t="shared" si="3"/>
        <v>2-4 STEINKJER</v>
      </c>
      <c r="G66" s="169">
        <v>224340</v>
      </c>
      <c r="H66" s="38" t="s">
        <v>78</v>
      </c>
      <c r="I66" s="39" t="s">
        <v>26</v>
      </c>
      <c r="J66" s="184" t="str">
        <f t="shared" si="2"/>
        <v>2-4 LEKNES</v>
      </c>
    </row>
    <row r="67" spans="1:10" x14ac:dyDescent="0.25">
      <c r="A67" s="169">
        <v>224311</v>
      </c>
      <c r="B67" s="38" t="s">
        <v>56</v>
      </c>
      <c r="C67" s="39" t="s">
        <v>26</v>
      </c>
      <c r="D67" s="184" t="str">
        <f t="shared" si="3"/>
        <v>2-4 STRYN</v>
      </c>
      <c r="G67" s="169">
        <v>247340</v>
      </c>
      <c r="H67" s="38" t="s">
        <v>78</v>
      </c>
      <c r="I67" s="39" t="s">
        <v>32</v>
      </c>
      <c r="J67" s="184" t="str">
        <f t="shared" ref="J67:J98" si="4">I67&amp;" "&amp;H67</f>
        <v>4-7 LEKNES</v>
      </c>
    </row>
    <row r="68" spans="1:10" x14ac:dyDescent="0.25">
      <c r="A68" s="169">
        <v>224202</v>
      </c>
      <c r="B68" s="38" t="s">
        <v>33</v>
      </c>
      <c r="C68" s="39" t="s">
        <v>26</v>
      </c>
      <c r="D68" s="184" t="str">
        <f t="shared" si="3"/>
        <v>2-4 TANA</v>
      </c>
      <c r="G68" s="169">
        <v>224313</v>
      </c>
      <c r="H68" s="38" t="s">
        <v>57</v>
      </c>
      <c r="I68" s="39" t="s">
        <v>26</v>
      </c>
      <c r="J68" s="184" t="str">
        <f t="shared" si="4"/>
        <v>2-4 LOM</v>
      </c>
    </row>
    <row r="69" spans="1:10" x14ac:dyDescent="0.25">
      <c r="A69" s="169">
        <v>224212</v>
      </c>
      <c r="B69" s="38" t="s">
        <v>42</v>
      </c>
      <c r="C69" s="39" t="s">
        <v>26</v>
      </c>
      <c r="D69" s="184" t="str">
        <f t="shared" si="3"/>
        <v>2-4 TOKKE</v>
      </c>
      <c r="G69" s="169">
        <v>247313</v>
      </c>
      <c r="H69" s="38" t="s">
        <v>57</v>
      </c>
      <c r="I69" s="39" t="s">
        <v>32</v>
      </c>
      <c r="J69" s="184" t="str">
        <f t="shared" si="4"/>
        <v>4-7 LOM</v>
      </c>
    </row>
    <row r="70" spans="1:10" x14ac:dyDescent="0.25">
      <c r="A70" s="169">
        <v>224314</v>
      </c>
      <c r="B70" s="38" t="s">
        <v>58</v>
      </c>
      <c r="C70" s="39" t="s">
        <v>26</v>
      </c>
      <c r="D70" s="184" t="str">
        <f t="shared" si="3"/>
        <v>2-4 TROINTHEIM</v>
      </c>
      <c r="G70" s="169">
        <v>224317</v>
      </c>
      <c r="H70" s="38" t="s">
        <v>61</v>
      </c>
      <c r="I70" s="39" t="s">
        <v>26</v>
      </c>
      <c r="J70" s="184" t="str">
        <f t="shared" si="4"/>
        <v>2-4 MO I RANA</v>
      </c>
    </row>
    <row r="71" spans="1:10" x14ac:dyDescent="0.25">
      <c r="A71" s="169">
        <v>224356</v>
      </c>
      <c r="B71" s="38" t="s">
        <v>89</v>
      </c>
      <c r="C71" s="39" t="s">
        <v>26</v>
      </c>
      <c r="D71" s="184" t="str">
        <f>C71&amp;" "&amp;B71</f>
        <v>2-4 VALLDOLU</v>
      </c>
      <c r="G71" s="169">
        <v>247317</v>
      </c>
      <c r="H71" s="38" t="s">
        <v>61</v>
      </c>
      <c r="I71" s="39" t="s">
        <v>32</v>
      </c>
      <c r="J71" s="184" t="str">
        <f t="shared" si="4"/>
        <v>4-7 MO I RANA</v>
      </c>
    </row>
    <row r="72" spans="1:10" x14ac:dyDescent="0.25">
      <c r="A72" s="169">
        <v>224208</v>
      </c>
      <c r="B72" s="38" t="s">
        <v>38</v>
      </c>
      <c r="C72" s="39" t="s">
        <v>26</v>
      </c>
      <c r="D72" s="184" t="str">
        <f>C72&amp;" "&amp;B72</f>
        <v>2-4 VEFSNA</v>
      </c>
      <c r="G72" s="169">
        <v>224329</v>
      </c>
      <c r="H72" s="38" t="s">
        <v>68</v>
      </c>
      <c r="I72" s="39" t="s">
        <v>26</v>
      </c>
      <c r="J72" s="184" t="str">
        <f t="shared" si="4"/>
        <v>2-4 MOEN</v>
      </c>
    </row>
    <row r="73" spans="1:10" x14ac:dyDescent="0.25">
      <c r="A73" s="169">
        <v>224347</v>
      </c>
      <c r="B73" s="38" t="s">
        <v>81</v>
      </c>
      <c r="C73" s="39" t="s">
        <v>26</v>
      </c>
      <c r="D73" s="184" t="str">
        <f>C73&amp;" "&amp;B73</f>
        <v>2-4 VOOS</v>
      </c>
      <c r="G73" s="169">
        <v>247329</v>
      </c>
      <c r="H73" s="38" t="s">
        <v>68</v>
      </c>
      <c r="I73" s="39" t="s">
        <v>32</v>
      </c>
      <c r="J73" s="184" t="str">
        <f t="shared" si="4"/>
        <v>4-7 MOEN</v>
      </c>
    </row>
    <row r="74" spans="1:10" x14ac:dyDescent="0.25">
      <c r="G74" s="169">
        <v>224214</v>
      </c>
      <c r="H74" s="38" t="s">
        <v>43</v>
      </c>
      <c r="I74" s="39" t="s">
        <v>26</v>
      </c>
      <c r="J74" s="184" t="str">
        <f t="shared" si="4"/>
        <v>2-4 MOLDE</v>
      </c>
    </row>
    <row r="75" spans="1:10" x14ac:dyDescent="0.25">
      <c r="G75" s="169">
        <v>247214</v>
      </c>
      <c r="H75" s="38" t="s">
        <v>43</v>
      </c>
      <c r="I75" s="39" t="s">
        <v>32</v>
      </c>
      <c r="J75" s="184" t="str">
        <f t="shared" si="4"/>
        <v>4-7 MOLDE</v>
      </c>
    </row>
    <row r="76" spans="1:10" x14ac:dyDescent="0.25">
      <c r="G76" s="169">
        <v>224351</v>
      </c>
      <c r="H76" s="38" t="s">
        <v>85</v>
      </c>
      <c r="I76" s="39" t="s">
        <v>26</v>
      </c>
      <c r="J76" s="184" t="str">
        <f t="shared" si="4"/>
        <v>2-4 MOSJOEN</v>
      </c>
    </row>
    <row r="77" spans="1:10" x14ac:dyDescent="0.25">
      <c r="G77" s="169">
        <v>247351</v>
      </c>
      <c r="H77" s="38" t="s">
        <v>85</v>
      </c>
      <c r="I77" s="39" t="s">
        <v>32</v>
      </c>
      <c r="J77" s="184" t="str">
        <f t="shared" si="4"/>
        <v>4-7 MOSJOEN</v>
      </c>
    </row>
    <row r="78" spans="1:10" x14ac:dyDescent="0.25">
      <c r="G78" s="169">
        <v>224337</v>
      </c>
      <c r="H78" s="38" t="s">
        <v>75</v>
      </c>
      <c r="I78" s="39" t="s">
        <v>26</v>
      </c>
      <c r="J78" s="184" t="str">
        <f t="shared" si="4"/>
        <v>2-4 MOSKENES</v>
      </c>
    </row>
    <row r="79" spans="1:10" x14ac:dyDescent="0.25">
      <c r="G79" s="169">
        <v>247337</v>
      </c>
      <c r="H79" s="38" t="s">
        <v>75</v>
      </c>
      <c r="I79" s="39" t="s">
        <v>32</v>
      </c>
      <c r="J79" s="184" t="str">
        <f t="shared" si="4"/>
        <v>4-7 MOSKENES</v>
      </c>
    </row>
    <row r="80" spans="1:10" x14ac:dyDescent="0.25">
      <c r="G80" s="169">
        <v>224353</v>
      </c>
      <c r="H80" s="38" t="s">
        <v>87</v>
      </c>
      <c r="I80" s="39" t="s">
        <v>26</v>
      </c>
      <c r="J80" s="184" t="str">
        <f t="shared" si="4"/>
        <v>2-4 MOSS</v>
      </c>
    </row>
    <row r="81" spans="7:10" x14ac:dyDescent="0.25">
      <c r="G81" s="169">
        <v>247353</v>
      </c>
      <c r="H81" s="38" t="s">
        <v>87</v>
      </c>
      <c r="I81" s="39" t="s">
        <v>32</v>
      </c>
      <c r="J81" s="184" t="str">
        <f t="shared" si="4"/>
        <v>4-7 MOSS</v>
      </c>
    </row>
    <row r="82" spans="7:10" x14ac:dyDescent="0.25">
      <c r="G82" s="169">
        <v>224205</v>
      </c>
      <c r="H82" s="38" t="s">
        <v>36</v>
      </c>
      <c r="I82" s="39" t="s">
        <v>26</v>
      </c>
      <c r="J82" s="184" t="str">
        <f t="shared" si="4"/>
        <v>2-4 NAMSEN</v>
      </c>
    </row>
    <row r="83" spans="7:10" x14ac:dyDescent="0.25">
      <c r="G83" s="169">
        <v>247205</v>
      </c>
      <c r="H83" s="38" t="s">
        <v>36</v>
      </c>
      <c r="I83" s="39" t="s">
        <v>32</v>
      </c>
      <c r="J83" s="184" t="str">
        <f t="shared" si="4"/>
        <v>4-7 NAMSEN</v>
      </c>
    </row>
    <row r="84" spans="7:10" x14ac:dyDescent="0.25">
      <c r="G84" s="169">
        <v>224316</v>
      </c>
      <c r="H84" s="38" t="s">
        <v>60</v>
      </c>
      <c r="I84" s="39" t="s">
        <v>26</v>
      </c>
      <c r="J84" s="184" t="str">
        <f t="shared" si="4"/>
        <v>2-4 NAMSOS</v>
      </c>
    </row>
    <row r="85" spans="7:10" x14ac:dyDescent="0.25">
      <c r="G85" s="169">
        <v>247316</v>
      </c>
      <c r="H85" s="38" t="s">
        <v>60</v>
      </c>
      <c r="I85" s="39" t="s">
        <v>32</v>
      </c>
      <c r="J85" s="184" t="str">
        <f t="shared" si="4"/>
        <v>4-7 NAMSOS</v>
      </c>
    </row>
    <row r="86" spans="7:10" x14ac:dyDescent="0.25">
      <c r="G86" s="169">
        <v>224327</v>
      </c>
      <c r="H86" s="38" t="s">
        <v>66</v>
      </c>
      <c r="I86" s="39" t="s">
        <v>26</v>
      </c>
      <c r="J86" s="184" t="str">
        <f t="shared" si="4"/>
        <v>2-4 NARVIK</v>
      </c>
    </row>
    <row r="87" spans="7:10" x14ac:dyDescent="0.25">
      <c r="G87" s="169">
        <v>247327</v>
      </c>
      <c r="H87" s="38" t="s">
        <v>66</v>
      </c>
      <c r="I87" s="39" t="s">
        <v>32</v>
      </c>
      <c r="J87" s="184" t="str">
        <f t="shared" si="4"/>
        <v>4-7 NARVIK</v>
      </c>
    </row>
    <row r="88" spans="7:10" x14ac:dyDescent="0.25">
      <c r="G88" s="169">
        <v>224358</v>
      </c>
      <c r="H88" s="38" t="s">
        <v>91</v>
      </c>
      <c r="I88" s="39" t="s">
        <v>26</v>
      </c>
      <c r="J88" s="184" t="str">
        <f t="shared" si="4"/>
        <v>2-4 NEA</v>
      </c>
    </row>
    <row r="89" spans="7:10" x14ac:dyDescent="0.25">
      <c r="G89" s="169">
        <v>247358</v>
      </c>
      <c r="H89" s="38" t="s">
        <v>91</v>
      </c>
      <c r="I89" s="39" t="s">
        <v>32</v>
      </c>
      <c r="J89" s="184" t="str">
        <f t="shared" si="4"/>
        <v>4-7 NEA</v>
      </c>
    </row>
    <row r="90" spans="7:10" x14ac:dyDescent="0.25">
      <c r="G90" s="169">
        <v>224211</v>
      </c>
      <c r="H90" s="38" t="s">
        <v>41</v>
      </c>
      <c r="I90" s="39" t="s">
        <v>26</v>
      </c>
      <c r="J90" s="184" t="str">
        <f t="shared" si="4"/>
        <v>2-4 NIDELVA</v>
      </c>
    </row>
    <row r="91" spans="7:10" x14ac:dyDescent="0.25">
      <c r="G91" s="169">
        <v>247211</v>
      </c>
      <c r="H91" s="38" t="s">
        <v>41</v>
      </c>
      <c r="I91" s="39" t="s">
        <v>32</v>
      </c>
      <c r="J91" s="184" t="str">
        <f t="shared" si="4"/>
        <v>4-7 NIDELVA</v>
      </c>
    </row>
    <row r="92" spans="7:10" x14ac:dyDescent="0.25">
      <c r="G92" s="169">
        <v>224334</v>
      </c>
      <c r="H92" s="38" t="s">
        <v>73</v>
      </c>
      <c r="I92" s="39" t="s">
        <v>26</v>
      </c>
      <c r="J92" s="184" t="str">
        <f t="shared" si="4"/>
        <v>2-4 NORDMELA</v>
      </c>
    </row>
    <row r="93" spans="7:10" x14ac:dyDescent="0.25">
      <c r="G93" s="169">
        <v>247334</v>
      </c>
      <c r="H93" s="38" t="s">
        <v>73</v>
      </c>
      <c r="I93" s="39" t="s">
        <v>32</v>
      </c>
      <c r="J93" s="184" t="str">
        <f t="shared" si="4"/>
        <v>4-7 NORDMELA</v>
      </c>
    </row>
    <row r="94" spans="7:10" x14ac:dyDescent="0.25">
      <c r="G94" s="169">
        <v>224206</v>
      </c>
      <c r="H94" s="38" t="s">
        <v>37</v>
      </c>
      <c r="I94" s="39" t="s">
        <v>26</v>
      </c>
      <c r="J94" s="184" t="str">
        <f t="shared" si="4"/>
        <v>2-4 ORKLA</v>
      </c>
    </row>
    <row r="95" spans="7:10" x14ac:dyDescent="0.25">
      <c r="G95" s="169">
        <v>247206</v>
      </c>
      <c r="H95" s="38" t="s">
        <v>37</v>
      </c>
      <c r="I95" s="39" t="s">
        <v>32</v>
      </c>
      <c r="J95" s="184" t="str">
        <f t="shared" si="4"/>
        <v>4-7 ORKLA</v>
      </c>
    </row>
    <row r="96" spans="7:10" x14ac:dyDescent="0.25">
      <c r="G96" s="169">
        <v>224203</v>
      </c>
      <c r="H96" s="38" t="s">
        <v>34</v>
      </c>
      <c r="I96" s="39" t="s">
        <v>26</v>
      </c>
      <c r="J96" s="184" t="str">
        <f t="shared" si="4"/>
        <v>2-4 OTRA</v>
      </c>
    </row>
    <row r="97" spans="7:10" x14ac:dyDescent="0.25">
      <c r="G97" s="169">
        <v>247203</v>
      </c>
      <c r="H97" s="38" t="s">
        <v>34</v>
      </c>
      <c r="I97" s="39" t="s">
        <v>32</v>
      </c>
      <c r="J97" s="184" t="str">
        <f t="shared" si="4"/>
        <v>4-7 OTRA</v>
      </c>
    </row>
    <row r="98" spans="7:10" x14ac:dyDescent="0.25">
      <c r="G98" s="169">
        <v>224360</v>
      </c>
      <c r="H98" s="38" t="s">
        <v>93</v>
      </c>
      <c r="I98" s="39" t="s">
        <v>26</v>
      </c>
      <c r="J98" s="184" t="str">
        <f t="shared" si="4"/>
        <v>2-4 RANDSELVA</v>
      </c>
    </row>
    <row r="99" spans="7:10" x14ac:dyDescent="0.25">
      <c r="G99" s="169">
        <v>247360</v>
      </c>
      <c r="H99" s="38" t="s">
        <v>93</v>
      </c>
      <c r="I99" s="39" t="s">
        <v>32</v>
      </c>
      <c r="J99" s="184" t="str">
        <f t="shared" ref="J99:J130" si="5">I99&amp;" "&amp;H99</f>
        <v>4-7 RANDSELVA</v>
      </c>
    </row>
    <row r="100" spans="7:10" x14ac:dyDescent="0.25">
      <c r="G100" s="169">
        <v>224357</v>
      </c>
      <c r="H100" s="38" t="s">
        <v>90</v>
      </c>
      <c r="I100" s="39" t="s">
        <v>26</v>
      </c>
      <c r="J100" s="184" t="str">
        <f t="shared" si="5"/>
        <v>2-4 RAUMU</v>
      </c>
    </row>
    <row r="101" spans="7:10" x14ac:dyDescent="0.25">
      <c r="G101" s="169">
        <v>247357</v>
      </c>
      <c r="H101" s="38" t="s">
        <v>90</v>
      </c>
      <c r="I101" s="39" t="s">
        <v>32</v>
      </c>
      <c r="J101" s="184" t="str">
        <f t="shared" si="5"/>
        <v>4-7 RAUMU</v>
      </c>
    </row>
    <row r="102" spans="7:10" x14ac:dyDescent="0.25">
      <c r="G102" s="169">
        <v>224336</v>
      </c>
      <c r="H102" s="38" t="s">
        <v>74</v>
      </c>
      <c r="I102" s="39" t="s">
        <v>26</v>
      </c>
      <c r="J102" s="184" t="str">
        <f t="shared" si="5"/>
        <v>2-4 REINE</v>
      </c>
    </row>
    <row r="103" spans="7:10" x14ac:dyDescent="0.25">
      <c r="G103" s="169">
        <v>247336</v>
      </c>
      <c r="H103" s="38" t="s">
        <v>74</v>
      </c>
      <c r="I103" s="39" t="s">
        <v>32</v>
      </c>
      <c r="J103" s="184" t="str">
        <f t="shared" si="5"/>
        <v>4-7 REINE</v>
      </c>
    </row>
    <row r="104" spans="7:10" x14ac:dyDescent="0.25">
      <c r="G104" s="169">
        <v>224361</v>
      </c>
      <c r="H104" s="38" t="s">
        <v>94</v>
      </c>
      <c r="I104" s="39" t="s">
        <v>26</v>
      </c>
      <c r="J104" s="184" t="str">
        <f t="shared" si="5"/>
        <v>2-4 RENA</v>
      </c>
    </row>
    <row r="105" spans="7:10" x14ac:dyDescent="0.25">
      <c r="G105" s="169">
        <v>247361</v>
      </c>
      <c r="H105" s="38" t="s">
        <v>94</v>
      </c>
      <c r="I105" s="39" t="s">
        <v>32</v>
      </c>
      <c r="J105" s="184" t="str">
        <f t="shared" si="5"/>
        <v>4-7 RENA</v>
      </c>
    </row>
    <row r="106" spans="7:10" x14ac:dyDescent="0.25">
      <c r="G106" s="170">
        <v>224348</v>
      </c>
      <c r="H106" s="38" t="s">
        <v>82</v>
      </c>
      <c r="I106" s="39" t="s">
        <v>26</v>
      </c>
      <c r="J106" s="184" t="str">
        <f t="shared" si="5"/>
        <v>2-4 RJUKAN</v>
      </c>
    </row>
    <row r="107" spans="7:10" x14ac:dyDescent="0.25">
      <c r="G107" s="170">
        <v>247348</v>
      </c>
      <c r="H107" s="38" t="s">
        <v>82</v>
      </c>
      <c r="I107" s="39" t="s">
        <v>32</v>
      </c>
      <c r="J107" s="184" t="str">
        <f t="shared" si="5"/>
        <v>4-7 RJUKAN</v>
      </c>
    </row>
    <row r="108" spans="7:10" x14ac:dyDescent="0.25">
      <c r="G108" s="169">
        <v>236105</v>
      </c>
      <c r="H108" s="38" t="s">
        <v>29</v>
      </c>
      <c r="I108" s="39" t="s">
        <v>30</v>
      </c>
      <c r="J108" s="184" t="str">
        <f t="shared" si="5"/>
        <v>3-6 RÝN</v>
      </c>
    </row>
    <row r="109" spans="7:10" x14ac:dyDescent="0.25">
      <c r="G109" s="169">
        <v>224349</v>
      </c>
      <c r="H109" s="38" t="s">
        <v>83</v>
      </c>
      <c r="I109" s="39" t="s">
        <v>26</v>
      </c>
      <c r="J109" s="184" t="str">
        <f t="shared" si="5"/>
        <v>2-4 SANDNES</v>
      </c>
    </row>
    <row r="110" spans="7:10" x14ac:dyDescent="0.25">
      <c r="G110" s="169">
        <v>247349</v>
      </c>
      <c r="H110" s="38" t="s">
        <v>83</v>
      </c>
      <c r="I110" s="39" t="s">
        <v>32</v>
      </c>
      <c r="J110" s="184" t="str">
        <f t="shared" si="5"/>
        <v>4-7 SANDNES</v>
      </c>
    </row>
    <row r="111" spans="7:10" x14ac:dyDescent="0.25">
      <c r="G111" s="169">
        <v>224209</v>
      </c>
      <c r="H111" s="38" t="s">
        <v>39</v>
      </c>
      <c r="I111" s="39" t="s">
        <v>26</v>
      </c>
      <c r="J111" s="184" t="str">
        <f t="shared" si="5"/>
        <v>2-4 SIRA</v>
      </c>
    </row>
    <row r="112" spans="7:10" x14ac:dyDescent="0.25">
      <c r="G112" s="169">
        <v>247209</v>
      </c>
      <c r="H112" s="38" t="s">
        <v>39</v>
      </c>
      <c r="I112" s="39" t="s">
        <v>32</v>
      </c>
      <c r="J112" s="184" t="str">
        <f t="shared" si="5"/>
        <v>4-7 SIRA</v>
      </c>
    </row>
    <row r="113" spans="7:10" x14ac:dyDescent="0.25">
      <c r="G113" s="170">
        <v>224218</v>
      </c>
      <c r="H113" s="38" t="s">
        <v>45</v>
      </c>
      <c r="I113" s="39" t="s">
        <v>26</v>
      </c>
      <c r="J113" s="184" t="str">
        <f t="shared" si="5"/>
        <v>2-4 SJOA</v>
      </c>
    </row>
    <row r="114" spans="7:10" x14ac:dyDescent="0.25">
      <c r="G114" s="170">
        <v>247218</v>
      </c>
      <c r="H114" s="38" t="s">
        <v>45</v>
      </c>
      <c r="I114" s="39" t="s">
        <v>32</v>
      </c>
      <c r="J114" s="184" t="str">
        <f t="shared" si="5"/>
        <v>4-7 SJOA</v>
      </c>
    </row>
    <row r="115" spans="7:10" x14ac:dyDescent="0.25">
      <c r="G115" s="169">
        <v>224307</v>
      </c>
      <c r="H115" s="38" t="s">
        <v>52</v>
      </c>
      <c r="I115" s="39" t="s">
        <v>26</v>
      </c>
      <c r="J115" s="184" t="str">
        <f t="shared" si="5"/>
        <v>2-4 SKIEN</v>
      </c>
    </row>
    <row r="116" spans="7:10" x14ac:dyDescent="0.25">
      <c r="G116" s="169">
        <v>247307</v>
      </c>
      <c r="H116" s="38" t="s">
        <v>52</v>
      </c>
      <c r="I116" s="39" t="s">
        <v>32</v>
      </c>
      <c r="J116" s="184" t="str">
        <f t="shared" si="5"/>
        <v>4-7 SKIEN</v>
      </c>
    </row>
    <row r="117" spans="7:10" x14ac:dyDescent="0.25">
      <c r="G117" s="169">
        <v>224341</v>
      </c>
      <c r="H117" s="38" t="s">
        <v>79</v>
      </c>
      <c r="I117" s="39" t="s">
        <v>26</v>
      </c>
      <c r="J117" s="184" t="str">
        <f t="shared" si="5"/>
        <v>2-4 SKUTVIK</v>
      </c>
    </row>
    <row r="118" spans="7:10" x14ac:dyDescent="0.25">
      <c r="G118" s="169">
        <v>247341</v>
      </c>
      <c r="H118" s="38" t="s">
        <v>79</v>
      </c>
      <c r="I118" s="39" t="s">
        <v>32</v>
      </c>
      <c r="J118" s="184" t="str">
        <f t="shared" si="5"/>
        <v>4-7 SKUTVIK</v>
      </c>
    </row>
    <row r="119" spans="7:10" x14ac:dyDescent="0.25">
      <c r="G119" s="170">
        <v>224220</v>
      </c>
      <c r="H119" s="38" t="s">
        <v>46</v>
      </c>
      <c r="I119" s="39" t="s">
        <v>26</v>
      </c>
      <c r="J119" s="184" t="str">
        <f t="shared" si="5"/>
        <v>2-4 SONGA</v>
      </c>
    </row>
    <row r="120" spans="7:10" x14ac:dyDescent="0.25">
      <c r="G120" s="170">
        <v>247220</v>
      </c>
      <c r="H120" s="38" t="s">
        <v>46</v>
      </c>
      <c r="I120" s="39" t="s">
        <v>32</v>
      </c>
      <c r="J120" s="184" t="str">
        <f t="shared" si="5"/>
        <v>4-7 SONGA</v>
      </c>
    </row>
    <row r="121" spans="7:10" x14ac:dyDescent="0.25">
      <c r="G121" s="169">
        <v>224309</v>
      </c>
      <c r="H121" s="38" t="s">
        <v>54</v>
      </c>
      <c r="I121" s="39" t="s">
        <v>26</v>
      </c>
      <c r="J121" s="184" t="str">
        <f t="shared" si="5"/>
        <v>2-4 STAVANGER</v>
      </c>
    </row>
    <row r="122" spans="7:10" x14ac:dyDescent="0.25">
      <c r="G122" s="169">
        <v>247309</v>
      </c>
      <c r="H122" s="38" t="s">
        <v>54</v>
      </c>
      <c r="I122" s="39" t="s">
        <v>32</v>
      </c>
      <c r="J122" s="184" t="str">
        <f t="shared" si="5"/>
        <v>4-7 STAVANGER</v>
      </c>
    </row>
    <row r="123" spans="7:10" x14ac:dyDescent="0.25">
      <c r="G123" s="169">
        <v>224315</v>
      </c>
      <c r="H123" s="38" t="s">
        <v>59</v>
      </c>
      <c r="I123" s="39" t="s">
        <v>26</v>
      </c>
      <c r="J123" s="184" t="str">
        <f t="shared" si="5"/>
        <v>2-4 STEINKJER</v>
      </c>
    </row>
    <row r="124" spans="7:10" x14ac:dyDescent="0.25">
      <c r="G124" s="169">
        <v>247315</v>
      </c>
      <c r="H124" s="38" t="s">
        <v>59</v>
      </c>
      <c r="I124" s="39" t="s">
        <v>32</v>
      </c>
      <c r="J124" s="184" t="str">
        <f t="shared" si="5"/>
        <v>4-7 STEINKJER</v>
      </c>
    </row>
    <row r="125" spans="7:10" x14ac:dyDescent="0.25">
      <c r="G125" s="169">
        <v>224311</v>
      </c>
      <c r="H125" s="38" t="s">
        <v>56</v>
      </c>
      <c r="I125" s="39" t="s">
        <v>26</v>
      </c>
      <c r="J125" s="184" t="str">
        <f t="shared" si="5"/>
        <v>2-4 STRYN</v>
      </c>
    </row>
    <row r="126" spans="7:10" x14ac:dyDescent="0.25">
      <c r="G126" s="169">
        <v>247311</v>
      </c>
      <c r="H126" s="38" t="s">
        <v>56</v>
      </c>
      <c r="I126" s="39" t="s">
        <v>32</v>
      </c>
      <c r="J126" s="184" t="str">
        <f t="shared" si="5"/>
        <v>4-7 STRYN</v>
      </c>
    </row>
    <row r="127" spans="7:10" x14ac:dyDescent="0.25">
      <c r="G127" s="169">
        <v>224202</v>
      </c>
      <c r="H127" s="38" t="s">
        <v>33</v>
      </c>
      <c r="I127" s="39" t="s">
        <v>26</v>
      </c>
      <c r="J127" s="184" t="str">
        <f t="shared" si="5"/>
        <v>2-4 TANA</v>
      </c>
    </row>
    <row r="128" spans="7:10" x14ac:dyDescent="0.25">
      <c r="G128" s="169">
        <v>247202</v>
      </c>
      <c r="H128" s="38" t="s">
        <v>33</v>
      </c>
      <c r="I128" s="39" t="s">
        <v>32</v>
      </c>
      <c r="J128" s="184" t="str">
        <f t="shared" si="5"/>
        <v>4-7 TANA</v>
      </c>
    </row>
    <row r="129" spans="7:10" x14ac:dyDescent="0.25">
      <c r="G129" s="169">
        <v>224212</v>
      </c>
      <c r="H129" s="38" t="s">
        <v>42</v>
      </c>
      <c r="I129" s="39" t="s">
        <v>26</v>
      </c>
      <c r="J129" s="184" t="str">
        <f t="shared" si="5"/>
        <v>2-4 TOKKE</v>
      </c>
    </row>
    <row r="130" spans="7:10" x14ac:dyDescent="0.25">
      <c r="G130" s="169">
        <v>247212</v>
      </c>
      <c r="H130" s="38" t="s">
        <v>42</v>
      </c>
      <c r="I130" s="39" t="s">
        <v>32</v>
      </c>
      <c r="J130" s="184" t="str">
        <f t="shared" si="5"/>
        <v>4-7 TOKKE</v>
      </c>
    </row>
    <row r="131" spans="7:10" x14ac:dyDescent="0.25">
      <c r="G131" s="169">
        <v>224314</v>
      </c>
      <c r="H131" s="38" t="s">
        <v>58</v>
      </c>
      <c r="I131" s="39" t="s">
        <v>26</v>
      </c>
      <c r="J131" s="184" t="str">
        <f t="shared" ref="J131:J138" si="6">I131&amp;" "&amp;H131</f>
        <v>2-4 TROINTHEIM</v>
      </c>
    </row>
    <row r="132" spans="7:10" x14ac:dyDescent="0.25">
      <c r="G132" s="169">
        <v>247314</v>
      </c>
      <c r="H132" s="38" t="s">
        <v>58</v>
      </c>
      <c r="I132" s="39" t="s">
        <v>32</v>
      </c>
      <c r="J132" s="184" t="str">
        <f t="shared" si="6"/>
        <v>4-7 TROINTHEIM</v>
      </c>
    </row>
    <row r="133" spans="7:10" x14ac:dyDescent="0.25">
      <c r="G133" s="169">
        <v>224356</v>
      </c>
      <c r="H133" s="38" t="s">
        <v>89</v>
      </c>
      <c r="I133" s="39" t="s">
        <v>26</v>
      </c>
      <c r="J133" s="184" t="str">
        <f t="shared" si="6"/>
        <v>2-4 VALLDOLU</v>
      </c>
    </row>
    <row r="134" spans="7:10" x14ac:dyDescent="0.25">
      <c r="G134" s="169">
        <v>247356</v>
      </c>
      <c r="H134" s="38" t="s">
        <v>89</v>
      </c>
      <c r="I134" s="39" t="s">
        <v>32</v>
      </c>
      <c r="J134" s="184" t="str">
        <f t="shared" si="6"/>
        <v>4-7 VALLDOLU</v>
      </c>
    </row>
    <row r="135" spans="7:10" x14ac:dyDescent="0.25">
      <c r="G135" s="169">
        <v>224208</v>
      </c>
      <c r="H135" s="38" t="s">
        <v>38</v>
      </c>
      <c r="I135" s="39" t="s">
        <v>26</v>
      </c>
      <c r="J135" s="184" t="str">
        <f t="shared" si="6"/>
        <v>2-4 VEFSNA</v>
      </c>
    </row>
    <row r="136" spans="7:10" x14ac:dyDescent="0.25">
      <c r="G136" s="169">
        <v>247208</v>
      </c>
      <c r="H136" s="38" t="s">
        <v>38</v>
      </c>
      <c r="I136" s="39" t="s">
        <v>32</v>
      </c>
      <c r="J136" s="184" t="str">
        <f t="shared" si="6"/>
        <v>4-7 VEFSNA</v>
      </c>
    </row>
    <row r="137" spans="7:10" x14ac:dyDescent="0.25">
      <c r="G137" s="169">
        <v>224347</v>
      </c>
      <c r="H137" s="38" t="s">
        <v>81</v>
      </c>
      <c r="I137" s="39" t="s">
        <v>26</v>
      </c>
      <c r="J137" s="184" t="str">
        <f t="shared" si="6"/>
        <v>2-4 VOOS</v>
      </c>
    </row>
    <row r="138" spans="7:10" x14ac:dyDescent="0.25">
      <c r="G138" s="169">
        <v>247347</v>
      </c>
      <c r="H138" s="38" t="s">
        <v>81</v>
      </c>
      <c r="I138" s="39" t="s">
        <v>32</v>
      </c>
      <c r="J138" s="184" t="str">
        <f t="shared" si="6"/>
        <v>4-7 VOOS</v>
      </c>
    </row>
  </sheetData>
  <sortState ref="A7:D73">
    <sortCondition ref="B7:B73"/>
    <sortCondition ref="C7:C73"/>
  </sortState>
  <mergeCells count="2">
    <mergeCell ref="G1:J1"/>
    <mergeCell ref="A5:D5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F14" sqref="F14"/>
    </sheetView>
  </sheetViews>
  <sheetFormatPr defaultRowHeight="15" x14ac:dyDescent="0.25"/>
  <cols>
    <col min="1" max="1" width="34.7109375" bestFit="1" customWidth="1"/>
    <col min="2" max="2" width="17.42578125" bestFit="1" customWidth="1"/>
    <col min="3" max="3" width="9" bestFit="1" customWidth="1"/>
    <col min="4" max="4" width="11.85546875" bestFit="1" customWidth="1"/>
    <col min="5" max="5" width="29.42578125" bestFit="1" customWidth="1"/>
    <col min="6" max="6" width="58.7109375" bestFit="1" customWidth="1"/>
    <col min="7" max="7" width="8.85546875" bestFit="1" customWidth="1"/>
    <col min="8" max="8" width="7.5703125" bestFit="1" customWidth="1"/>
  </cols>
  <sheetData>
    <row r="1" spans="1:8" ht="75" x14ac:dyDescent="0.25">
      <c r="A1" s="178" t="s">
        <v>218</v>
      </c>
      <c r="B1" s="178" t="s">
        <v>219</v>
      </c>
      <c r="C1" s="179" t="s">
        <v>220</v>
      </c>
      <c r="D1" s="179" t="s">
        <v>221</v>
      </c>
      <c r="E1" s="178" t="s">
        <v>222</v>
      </c>
      <c r="F1" s="178" t="s">
        <v>223</v>
      </c>
      <c r="G1" s="178" t="s">
        <v>224</v>
      </c>
      <c r="H1" s="178" t="s">
        <v>225</v>
      </c>
    </row>
    <row r="2" spans="1:8" x14ac:dyDescent="0.25">
      <c r="A2" s="174" t="s">
        <v>226</v>
      </c>
      <c r="B2" s="174">
        <v>0.67</v>
      </c>
      <c r="C2" s="174">
        <v>0.25</v>
      </c>
      <c r="D2" s="174">
        <v>0.05</v>
      </c>
      <c r="E2" s="174" t="s">
        <v>227</v>
      </c>
      <c r="F2" s="174" t="s">
        <v>228</v>
      </c>
      <c r="G2" s="174" t="s">
        <v>229</v>
      </c>
      <c r="H2" s="176">
        <v>0.1</v>
      </c>
    </row>
    <row r="3" spans="1:8" x14ac:dyDescent="0.25">
      <c r="A3" s="174" t="s">
        <v>230</v>
      </c>
      <c r="B3" s="174">
        <v>0.56000000000000005</v>
      </c>
      <c r="C3" s="174">
        <v>0.25</v>
      </c>
      <c r="D3" s="174">
        <v>0.05</v>
      </c>
      <c r="E3" s="174" t="s">
        <v>227</v>
      </c>
      <c r="F3" s="174" t="s">
        <v>231</v>
      </c>
      <c r="G3" s="174" t="s">
        <v>229</v>
      </c>
      <c r="H3" s="176">
        <v>0.1</v>
      </c>
    </row>
    <row r="4" spans="1:8" x14ac:dyDescent="0.25">
      <c r="A4" s="174" t="s">
        <v>232</v>
      </c>
      <c r="B4" s="174">
        <v>0.8</v>
      </c>
      <c r="C4" s="174">
        <v>0.25</v>
      </c>
      <c r="D4" s="174">
        <v>0.05</v>
      </c>
      <c r="E4" s="174" t="s">
        <v>227</v>
      </c>
      <c r="F4" s="174" t="s">
        <v>233</v>
      </c>
      <c r="G4" s="174" t="s">
        <v>229</v>
      </c>
      <c r="H4" s="176">
        <v>0.1</v>
      </c>
    </row>
    <row r="5" spans="1:8" x14ac:dyDescent="0.25">
      <c r="A5" s="177" t="s">
        <v>234</v>
      </c>
      <c r="B5" s="174">
        <v>1.1399999999999999</v>
      </c>
      <c r="C5" s="174">
        <v>0.25</v>
      </c>
      <c r="D5" s="174">
        <v>0.05</v>
      </c>
      <c r="E5" s="174" t="s">
        <v>227</v>
      </c>
      <c r="F5" s="174" t="s">
        <v>235</v>
      </c>
      <c r="G5" s="174" t="s">
        <v>229</v>
      </c>
      <c r="H5" s="176">
        <v>0.1</v>
      </c>
    </row>
    <row r="6" spans="1:8" x14ac:dyDescent="0.25">
      <c r="A6" s="176" t="s">
        <v>236</v>
      </c>
      <c r="B6" s="174">
        <v>0.45</v>
      </c>
      <c r="C6" s="174">
        <v>0.25</v>
      </c>
      <c r="D6" s="174">
        <v>0.05</v>
      </c>
      <c r="E6" s="174" t="s">
        <v>227</v>
      </c>
      <c r="F6" s="174" t="s">
        <v>237</v>
      </c>
      <c r="G6" s="174" t="s">
        <v>229</v>
      </c>
      <c r="H6" s="176">
        <v>0.1</v>
      </c>
    </row>
    <row r="7" spans="1:8" x14ac:dyDescent="0.25">
      <c r="A7" s="175" t="s">
        <v>220</v>
      </c>
      <c r="B7" s="174">
        <v>0.25</v>
      </c>
      <c r="C7" s="174">
        <v>0</v>
      </c>
      <c r="D7" s="174">
        <v>0</v>
      </c>
      <c r="E7" s="176" t="s">
        <v>238</v>
      </c>
      <c r="F7" s="174" t="s">
        <v>113</v>
      </c>
      <c r="G7" s="174" t="s">
        <v>239</v>
      </c>
      <c r="H7" s="176">
        <v>0</v>
      </c>
    </row>
    <row r="8" spans="1:8" x14ac:dyDescent="0.25">
      <c r="A8" s="175" t="s">
        <v>221</v>
      </c>
      <c r="B8" s="174">
        <v>0.05</v>
      </c>
      <c r="C8" s="174">
        <v>0</v>
      </c>
      <c r="D8" s="174">
        <v>0</v>
      </c>
      <c r="E8" s="176" t="s">
        <v>240</v>
      </c>
      <c r="F8" s="174" t="s">
        <v>113</v>
      </c>
      <c r="G8" s="174" t="s">
        <v>239</v>
      </c>
      <c r="H8" s="176">
        <v>0</v>
      </c>
    </row>
    <row r="9" spans="1:8" x14ac:dyDescent="0.25">
      <c r="A9" s="176" t="s">
        <v>241</v>
      </c>
      <c r="B9" s="174">
        <v>0.2</v>
      </c>
      <c r="C9" s="174">
        <v>0</v>
      </c>
      <c r="D9" s="174">
        <v>0</v>
      </c>
      <c r="E9" s="176" t="s">
        <v>242</v>
      </c>
      <c r="F9" s="174" t="s">
        <v>113</v>
      </c>
      <c r="G9" s="174" t="s">
        <v>239</v>
      </c>
      <c r="H9" s="176">
        <v>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Normal="100" workbookViewId="0">
      <selection activeCell="B20" sqref="B20"/>
    </sheetView>
  </sheetViews>
  <sheetFormatPr defaultRowHeight="15.75" x14ac:dyDescent="0.25"/>
  <cols>
    <col min="1" max="1" width="9.7109375" style="2" customWidth="1"/>
    <col min="2" max="2" width="54.85546875" style="3" customWidth="1"/>
    <col min="3" max="3" width="19.85546875" style="3" customWidth="1"/>
    <col min="4" max="4" width="21.7109375" style="1" customWidth="1"/>
    <col min="5" max="16384" width="9.140625" style="1"/>
  </cols>
  <sheetData>
    <row r="1" spans="1:4" ht="15.75" customHeight="1" x14ac:dyDescent="0.25">
      <c r="A1" s="349" t="s">
        <v>0</v>
      </c>
      <c r="B1" s="349"/>
      <c r="C1" s="349"/>
      <c r="D1" s="349"/>
    </row>
    <row r="2" spans="1:4" ht="15.75" customHeight="1" x14ac:dyDescent="0.25">
      <c r="A2" s="349"/>
      <c r="B2" s="349"/>
      <c r="C2" s="349"/>
      <c r="D2" s="349"/>
    </row>
    <row r="3" spans="1:4" ht="6" customHeight="1" thickBot="1" x14ac:dyDescent="0.3"/>
    <row r="4" spans="1:4" ht="51" customHeight="1" thickBot="1" x14ac:dyDescent="0.3">
      <c r="A4" s="4" t="s">
        <v>1</v>
      </c>
      <c r="B4" s="181" t="s">
        <v>2</v>
      </c>
      <c r="C4" s="5" t="s">
        <v>3</v>
      </c>
      <c r="D4" s="6" t="s">
        <v>4</v>
      </c>
    </row>
    <row r="5" spans="1:4" ht="20.25" customHeight="1" x14ac:dyDescent="0.25">
      <c r="A5" s="171">
        <v>6</v>
      </c>
      <c r="B5" s="182" t="s">
        <v>5</v>
      </c>
      <c r="C5" s="7">
        <v>2.2000000000000002</v>
      </c>
      <c r="D5" s="8">
        <f>1/C5</f>
        <v>0.45454545454545453</v>
      </c>
    </row>
    <row r="6" spans="1:4" ht="20.25" customHeight="1" x14ac:dyDescent="0.25">
      <c r="A6" s="172">
        <v>8</v>
      </c>
      <c r="B6" s="183" t="s">
        <v>6</v>
      </c>
      <c r="C6" s="9">
        <v>1.8</v>
      </c>
      <c r="D6" s="10">
        <f>1/C6</f>
        <v>0.55555555555555558</v>
      </c>
    </row>
    <row r="7" spans="1:4" ht="20.25" customHeight="1" x14ac:dyDescent="0.25">
      <c r="A7" s="172">
        <v>10</v>
      </c>
      <c r="B7" s="183" t="s">
        <v>216</v>
      </c>
      <c r="C7" s="9">
        <v>1.5</v>
      </c>
      <c r="D7" s="10">
        <f>1/C7</f>
        <v>0.66666666666666663</v>
      </c>
    </row>
    <row r="8" spans="1:4" ht="20.25" customHeight="1" x14ac:dyDescent="0.25">
      <c r="A8" s="172">
        <v>14</v>
      </c>
      <c r="B8" s="183" t="s">
        <v>217</v>
      </c>
      <c r="C8" s="9">
        <v>1.25</v>
      </c>
      <c r="D8" s="10">
        <f>1/C8</f>
        <v>0.8</v>
      </c>
    </row>
    <row r="9" spans="1:4" ht="20.25" customHeight="1" thickBot="1" x14ac:dyDescent="0.3">
      <c r="A9" s="173">
        <v>20</v>
      </c>
      <c r="B9" s="180" t="s">
        <v>7</v>
      </c>
      <c r="C9" s="11">
        <v>0.88</v>
      </c>
      <c r="D9" s="12">
        <f>1/C9</f>
        <v>1.1363636363636365</v>
      </c>
    </row>
    <row r="11" spans="1:4" ht="18.75" customHeight="1" x14ac:dyDescent="0.3">
      <c r="A11" s="345" t="s">
        <v>8</v>
      </c>
      <c r="B11" s="346"/>
      <c r="C11" s="346"/>
      <c r="D11" s="347"/>
    </row>
    <row r="13" spans="1:4" ht="15.75" customHeight="1" x14ac:dyDescent="0.25">
      <c r="A13" s="348" t="s">
        <v>9</v>
      </c>
      <c r="B13" s="348"/>
      <c r="C13" s="348"/>
      <c r="D13" s="348"/>
    </row>
    <row r="14" spans="1:4" ht="15.75" customHeight="1" x14ac:dyDescent="0.25">
      <c r="A14" s="348"/>
      <c r="B14" s="348"/>
      <c r="C14" s="348"/>
      <c r="D14" s="348"/>
    </row>
    <row r="15" spans="1:4" ht="39" customHeight="1" x14ac:dyDescent="0.25">
      <c r="A15" s="348"/>
      <c r="B15" s="348"/>
      <c r="C15" s="348"/>
      <c r="D15" s="348"/>
    </row>
    <row r="19" spans="1:2" ht="16.5" thickBot="1" x14ac:dyDescent="0.3"/>
    <row r="20" spans="1:2" x14ac:dyDescent="0.25">
      <c r="A20" s="269">
        <v>6</v>
      </c>
      <c r="B20" s="270" t="s">
        <v>5</v>
      </c>
    </row>
    <row r="21" spans="1:2" x14ac:dyDescent="0.25">
      <c r="A21" s="172">
        <v>8</v>
      </c>
      <c r="B21" s="271" t="s">
        <v>292</v>
      </c>
    </row>
    <row r="22" spans="1:2" x14ac:dyDescent="0.25">
      <c r="A22" s="172">
        <v>10</v>
      </c>
      <c r="B22" s="271" t="s">
        <v>292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1:D11"/>
    <mergeCell ref="A13:D15"/>
    <mergeCell ref="A1:D2"/>
  </mergeCells>
  <printOptions horizontalCentered="1" verticalCentered="1"/>
  <pageMargins left="0" right="0" top="0.78740157480314965" bottom="0" header="0" footer="0"/>
  <pageSetup paperSize="9" orientation="landscape" r:id="rId1"/>
  <headerFooter>
    <oddHeader>&amp;L       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2"/>
  <sheetViews>
    <sheetView topLeftCell="A127" zoomScaleNormal="100" workbookViewId="0">
      <selection activeCell="D32" sqref="D32:H32"/>
    </sheetView>
  </sheetViews>
  <sheetFormatPr defaultRowHeight="15.75" x14ac:dyDescent="0.25"/>
  <cols>
    <col min="1" max="1" width="12.5703125" style="1" customWidth="1"/>
    <col min="2" max="2" width="9.7109375" style="2" customWidth="1"/>
    <col min="3" max="3" width="13.28515625" style="53" customWidth="1"/>
    <col min="4" max="4" width="6" style="54" customWidth="1"/>
    <col min="5" max="5" width="9.140625" style="55" customWidth="1"/>
    <col min="6" max="16" width="9.140625" style="3" customWidth="1"/>
    <col min="17" max="16384" width="9.140625" style="1"/>
  </cols>
  <sheetData>
    <row r="1" spans="1:16" ht="19.5" customHeight="1" thickBot="1" x14ac:dyDescent="0.4">
      <c r="B1" s="350" t="s">
        <v>298</v>
      </c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2"/>
    </row>
    <row r="2" spans="1:16" ht="33.75" customHeight="1" thickBot="1" x14ac:dyDescent="0.3">
      <c r="B2" s="353" t="s">
        <v>10</v>
      </c>
      <c r="C2" s="356" t="s">
        <v>11</v>
      </c>
      <c r="D2" s="357" t="s">
        <v>12</v>
      </c>
      <c r="E2" s="358" t="s">
        <v>13</v>
      </c>
      <c r="F2" s="359"/>
      <c r="G2" s="362" t="s">
        <v>14</v>
      </c>
      <c r="H2" s="363"/>
      <c r="I2" s="363"/>
      <c r="J2" s="363"/>
      <c r="K2" s="363"/>
      <c r="L2" s="363"/>
      <c r="M2" s="363"/>
      <c r="N2" s="363"/>
      <c r="O2" s="363"/>
      <c r="P2" s="364"/>
    </row>
    <row r="3" spans="1:16" ht="14.25" customHeight="1" x14ac:dyDescent="0.25">
      <c r="B3" s="354"/>
      <c r="C3" s="354"/>
      <c r="D3" s="354"/>
      <c r="E3" s="360"/>
      <c r="F3" s="361"/>
      <c r="G3" s="365" t="s">
        <v>15</v>
      </c>
      <c r="H3" s="359"/>
      <c r="I3" s="365" t="s">
        <v>16</v>
      </c>
      <c r="J3" s="359"/>
      <c r="K3" s="365" t="s">
        <v>17</v>
      </c>
      <c r="L3" s="359"/>
      <c r="M3" s="365" t="s">
        <v>18</v>
      </c>
      <c r="N3" s="359"/>
      <c r="O3" s="365" t="s">
        <v>19</v>
      </c>
      <c r="P3" s="359"/>
    </row>
    <row r="4" spans="1:16" thickBot="1" x14ac:dyDescent="0.3">
      <c r="B4" s="355"/>
      <c r="C4" s="355"/>
      <c r="D4" s="355"/>
      <c r="E4" s="13" t="s">
        <v>20</v>
      </c>
      <c r="F4" s="14" t="s">
        <v>21</v>
      </c>
      <c r="G4" s="15" t="s">
        <v>20</v>
      </c>
      <c r="H4" s="16" t="s">
        <v>21</v>
      </c>
      <c r="I4" s="15" t="s">
        <v>20</v>
      </c>
      <c r="J4" s="16" t="s">
        <v>21</v>
      </c>
      <c r="K4" s="15" t="s">
        <v>20</v>
      </c>
      <c r="L4" s="16" t="s">
        <v>21</v>
      </c>
      <c r="M4" s="15" t="s">
        <v>20</v>
      </c>
      <c r="N4" s="16" t="s">
        <v>21</v>
      </c>
      <c r="O4" s="15" t="s">
        <v>20</v>
      </c>
      <c r="P4" s="16" t="s">
        <v>21</v>
      </c>
    </row>
    <row r="5" spans="1:16" ht="15" customHeight="1" x14ac:dyDescent="0.25">
      <c r="A5" s="1" t="str">
        <f>B5&amp;D5</f>
        <v>2242042-4</v>
      </c>
      <c r="B5" s="17">
        <v>224204</v>
      </c>
      <c r="C5" s="18" t="s">
        <v>35</v>
      </c>
      <c r="D5" s="19" t="s">
        <v>26</v>
      </c>
      <c r="E5" s="20">
        <v>844.8</v>
      </c>
      <c r="F5" s="21">
        <f t="shared" ref="F5:F36" si="0">E5*1.21</f>
        <v>1022.208</v>
      </c>
      <c r="G5" s="22">
        <f>$E5/spotřeba!$C$5</f>
        <v>383.99999999999994</v>
      </c>
      <c r="H5" s="206">
        <f>$F5/spotřeba!$C$5</f>
        <v>464.63999999999993</v>
      </c>
      <c r="I5" s="23">
        <f>$E5/spotřeba!$C$6</f>
        <v>469.33333333333331</v>
      </c>
      <c r="J5" s="24">
        <f>$F5/spotřeba!$C$6</f>
        <v>567.89333333333332</v>
      </c>
      <c r="K5" s="23">
        <f>$E5/spotřeba!$C$7</f>
        <v>563.19999999999993</v>
      </c>
      <c r="L5" s="24">
        <f>$F5/spotřeba!$C$7</f>
        <v>681.47199999999998</v>
      </c>
      <c r="M5" s="22">
        <f>$E5/spotřeba!$C$8</f>
        <v>675.83999999999992</v>
      </c>
      <c r="N5" s="206">
        <f>$F5/spotřeba!$C$8</f>
        <v>817.76639999999998</v>
      </c>
      <c r="O5" s="23">
        <f>$E5/spotřeba!$C$9</f>
        <v>960</v>
      </c>
      <c r="P5" s="24">
        <f>$F5/spotřeba!$C$9</f>
        <v>1161.5999999999999</v>
      </c>
    </row>
    <row r="6" spans="1:16" ht="15" customHeight="1" x14ac:dyDescent="0.25">
      <c r="A6" s="1" t="str">
        <f t="shared" ref="A6:A55" si="1">B6&amp;D6</f>
        <v>2472044-7</v>
      </c>
      <c r="B6" s="25">
        <v>247204</v>
      </c>
      <c r="C6" s="26" t="s">
        <v>35</v>
      </c>
      <c r="D6" s="27" t="s">
        <v>32</v>
      </c>
      <c r="E6" s="28">
        <v>844.8</v>
      </c>
      <c r="F6" s="29">
        <f t="shared" si="0"/>
        <v>1022.208</v>
      </c>
      <c r="G6" s="30" t="s">
        <v>24</v>
      </c>
      <c r="H6" s="31" t="s">
        <v>24</v>
      </c>
      <c r="I6" s="32" t="s">
        <v>24</v>
      </c>
      <c r="J6" s="207" t="s">
        <v>24</v>
      </c>
      <c r="K6" s="32">
        <f>$E6/spotřeba!$C$7</f>
        <v>563.19999999999993</v>
      </c>
      <c r="L6" s="33">
        <f>$F6/spotřeba!$C$7</f>
        <v>681.47199999999998</v>
      </c>
      <c r="M6" s="30">
        <f>$E6/spotřeba!$C$8</f>
        <v>675.83999999999992</v>
      </c>
      <c r="N6" s="31">
        <f>$F6/spotřeba!$C$8</f>
        <v>817.76639999999998</v>
      </c>
      <c r="O6" s="32">
        <f>$E6/spotřeba!$C$9</f>
        <v>960</v>
      </c>
      <c r="P6" s="33">
        <f>$F6/spotřeba!$C$9</f>
        <v>1161.5999999999999</v>
      </c>
    </row>
    <row r="7" spans="1:16" ht="15" customHeight="1" x14ac:dyDescent="0.25">
      <c r="A7" s="1" t="str">
        <f t="shared" si="1"/>
        <v>2243322-4</v>
      </c>
      <c r="B7" s="25">
        <v>224332</v>
      </c>
      <c r="C7" s="26" t="s">
        <v>71</v>
      </c>
      <c r="D7" s="27" t="s">
        <v>26</v>
      </c>
      <c r="E7" s="28">
        <v>910.8</v>
      </c>
      <c r="F7" s="29">
        <f t="shared" si="0"/>
        <v>1102.068</v>
      </c>
      <c r="G7" s="30">
        <f>$E7/spotřeba!$C$5</f>
        <v>413.99999999999994</v>
      </c>
      <c r="H7" s="31">
        <f>$F7/spotřeba!$C$5</f>
        <v>500.93999999999994</v>
      </c>
      <c r="I7" s="32">
        <f>$E7/spotřeba!$C$6</f>
        <v>505.99999999999994</v>
      </c>
      <c r="J7" s="33">
        <f>$F7/spotřeba!$C$6</f>
        <v>612.26</v>
      </c>
      <c r="K7" s="32">
        <f>$E7/spotřeba!$C$7</f>
        <v>607.19999999999993</v>
      </c>
      <c r="L7" s="207">
        <f>$F7/spotřeba!$C$7</f>
        <v>734.71199999999999</v>
      </c>
      <c r="M7" s="30">
        <f>$E7/spotřeba!$C$8</f>
        <v>728.64</v>
      </c>
      <c r="N7" s="31">
        <f>$F7/spotřeba!$C$8</f>
        <v>881.65440000000001</v>
      </c>
      <c r="O7" s="32">
        <f>$E7/spotřeba!$C$9</f>
        <v>1035</v>
      </c>
      <c r="P7" s="33">
        <f>$F7/spotřeba!$C$9</f>
        <v>1252.3499999999999</v>
      </c>
    </row>
    <row r="8" spans="1:16" ht="15" customHeight="1" x14ac:dyDescent="0.25">
      <c r="A8" s="1" t="str">
        <f t="shared" si="1"/>
        <v>2473324-7</v>
      </c>
      <c r="B8" s="25">
        <v>247332</v>
      </c>
      <c r="C8" s="26" t="s">
        <v>71</v>
      </c>
      <c r="D8" s="27" t="s">
        <v>32</v>
      </c>
      <c r="E8" s="28">
        <v>910.8</v>
      </c>
      <c r="F8" s="29">
        <f t="shared" si="0"/>
        <v>1102.068</v>
      </c>
      <c r="G8" s="30" t="s">
        <v>24</v>
      </c>
      <c r="H8" s="31" t="s">
        <v>24</v>
      </c>
      <c r="I8" s="32" t="s">
        <v>24</v>
      </c>
      <c r="J8" s="207" t="s">
        <v>24</v>
      </c>
      <c r="K8" s="32">
        <f>$E8/spotřeba!$C$7</f>
        <v>607.19999999999993</v>
      </c>
      <c r="L8" s="33">
        <f>$F8/spotřeba!$C$7</f>
        <v>734.71199999999999</v>
      </c>
      <c r="M8" s="30">
        <f>$E8/spotřeba!$C$8</f>
        <v>728.64</v>
      </c>
      <c r="N8" s="31">
        <f>$F8/spotřeba!$C$8</f>
        <v>881.65440000000001</v>
      </c>
      <c r="O8" s="32">
        <f>$E8/spotřeba!$C$9</f>
        <v>1035</v>
      </c>
      <c r="P8" s="33">
        <f>$F8/spotřeba!$C$9</f>
        <v>1252.3499999999999</v>
      </c>
    </row>
    <row r="9" spans="1:16" ht="15" customHeight="1" x14ac:dyDescent="0.25">
      <c r="A9" s="1" t="str">
        <f t="shared" si="1"/>
        <v>2241022-4</v>
      </c>
      <c r="B9" s="25">
        <v>224102</v>
      </c>
      <c r="C9" s="26" t="s">
        <v>25</v>
      </c>
      <c r="D9" s="27" t="s">
        <v>26</v>
      </c>
      <c r="E9" s="28">
        <v>566.4</v>
      </c>
      <c r="F9" s="29">
        <f t="shared" si="0"/>
        <v>685.34399999999994</v>
      </c>
      <c r="G9" s="30">
        <f>$E9/spotřeba!$C$5</f>
        <v>257.45454545454544</v>
      </c>
      <c r="H9" s="31">
        <f>$F9/spotřeba!$C$5</f>
        <v>311.51999999999992</v>
      </c>
      <c r="I9" s="32">
        <f>$E9/spotřeba!$C$6</f>
        <v>314.66666666666663</v>
      </c>
      <c r="J9" s="33">
        <f>$F9/spotřeba!$C$6</f>
        <v>380.74666666666661</v>
      </c>
      <c r="K9" s="32">
        <f>$E9/spotřeba!$C$7</f>
        <v>377.59999999999997</v>
      </c>
      <c r="L9" s="33">
        <f>$F9/spotřeba!$C$7</f>
        <v>456.89599999999996</v>
      </c>
      <c r="M9" s="30">
        <f>$E9/spotřeba!$C$8</f>
        <v>453.12</v>
      </c>
      <c r="N9" s="31">
        <f>$F9/spotřeba!$C$8</f>
        <v>548.27519999999993</v>
      </c>
      <c r="O9" s="32">
        <f>$E9/spotřeba!$C$9</f>
        <v>643.63636363636363</v>
      </c>
      <c r="P9" s="33">
        <f>$F9/spotřeba!$C$9</f>
        <v>778.8</v>
      </c>
    </row>
    <row r="10" spans="1:16" ht="15" customHeight="1" x14ac:dyDescent="0.25">
      <c r="A10" s="1" t="str">
        <f t="shared" si="1"/>
        <v>2242152-4</v>
      </c>
      <c r="B10" s="25">
        <v>224215</v>
      </c>
      <c r="C10" s="26" t="s">
        <v>44</v>
      </c>
      <c r="D10" s="27" t="s">
        <v>26</v>
      </c>
      <c r="E10" s="28">
        <v>946.8</v>
      </c>
      <c r="F10" s="29">
        <f t="shared" si="0"/>
        <v>1145.6279999999999</v>
      </c>
      <c r="G10" s="30">
        <f>$E10/spotřeba!$C$5</f>
        <v>430.36363636363632</v>
      </c>
      <c r="H10" s="31">
        <f>$F10/spotřeba!$C$5</f>
        <v>520.7399999999999</v>
      </c>
      <c r="I10" s="32">
        <f>$E10/spotřeba!$C$6</f>
        <v>526</v>
      </c>
      <c r="J10" s="33">
        <f>$F10/spotřeba!$C$6</f>
        <v>636.45999999999992</v>
      </c>
      <c r="K10" s="32">
        <f>$E10/spotřeba!$C$7</f>
        <v>631.19999999999993</v>
      </c>
      <c r="L10" s="33">
        <f>$F10/spotřeba!$C$7</f>
        <v>763.75199999999995</v>
      </c>
      <c r="M10" s="30">
        <f>$E10/spotřeba!$C$8</f>
        <v>757.43999999999994</v>
      </c>
      <c r="N10" s="31">
        <f>$F10/spotřeba!$C$8</f>
        <v>916.50239999999997</v>
      </c>
      <c r="O10" s="32">
        <f>$E10/spotřeba!$C$9</f>
        <v>1075.9090909090908</v>
      </c>
      <c r="P10" s="33">
        <f>$F10/spotřeba!$C$9</f>
        <v>1301.8499999999999</v>
      </c>
    </row>
    <row r="11" spans="1:16" ht="15" customHeight="1" x14ac:dyDescent="0.25">
      <c r="A11" s="1" t="str">
        <f t="shared" si="1"/>
        <v>2472154-7</v>
      </c>
      <c r="B11" s="25">
        <v>247215</v>
      </c>
      <c r="C11" s="26" t="s">
        <v>44</v>
      </c>
      <c r="D11" s="27" t="s">
        <v>32</v>
      </c>
      <c r="E11" s="28">
        <v>946.8</v>
      </c>
      <c r="F11" s="29">
        <f t="shared" si="0"/>
        <v>1145.6279999999999</v>
      </c>
      <c r="G11" s="30" t="s">
        <v>24</v>
      </c>
      <c r="H11" s="31" t="s">
        <v>24</v>
      </c>
      <c r="I11" s="32" t="s">
        <v>24</v>
      </c>
      <c r="J11" s="207" t="s">
        <v>24</v>
      </c>
      <c r="K11" s="32">
        <f>$E11/spotřeba!$C$7</f>
        <v>631.19999999999993</v>
      </c>
      <c r="L11" s="33">
        <f>$F11/spotřeba!$C$7</f>
        <v>763.75199999999995</v>
      </c>
      <c r="M11" s="30">
        <f>$E11/spotřeba!$C$8</f>
        <v>757.43999999999994</v>
      </c>
      <c r="N11" s="31">
        <f>$F11/spotřeba!$C$8</f>
        <v>916.50239999999997</v>
      </c>
      <c r="O11" s="32">
        <f>$E11/spotřeba!$C$9</f>
        <v>1075.9090909090908</v>
      </c>
      <c r="P11" s="33">
        <f>$F11/spotřeba!$C$9</f>
        <v>1301.8499999999999</v>
      </c>
    </row>
    <row r="12" spans="1:16" ht="15" customHeight="1" x14ac:dyDescent="0.25">
      <c r="A12" s="1" t="str">
        <f t="shared" si="1"/>
        <v>2243062-4</v>
      </c>
      <c r="B12" s="25">
        <v>224306</v>
      </c>
      <c r="C12" s="26" t="s">
        <v>51</v>
      </c>
      <c r="D12" s="27" t="s">
        <v>26</v>
      </c>
      <c r="E12" s="28">
        <v>910.8</v>
      </c>
      <c r="F12" s="29">
        <f t="shared" si="0"/>
        <v>1102.068</v>
      </c>
      <c r="G12" s="30">
        <f>$E12/spotřeba!$C$5</f>
        <v>413.99999999999994</v>
      </c>
      <c r="H12" s="31">
        <f>$F12/spotřeba!$C$5</f>
        <v>500.93999999999994</v>
      </c>
      <c r="I12" s="32">
        <f>$E12/spotřeba!$C$6</f>
        <v>505.99999999999994</v>
      </c>
      <c r="J12" s="33">
        <f>$F12/spotřeba!$C$6</f>
        <v>612.26</v>
      </c>
      <c r="K12" s="32">
        <f>$E12/spotřeba!$C$7</f>
        <v>607.19999999999993</v>
      </c>
      <c r="L12" s="33">
        <f>$F12/spotřeba!$C$7</f>
        <v>734.71199999999999</v>
      </c>
      <c r="M12" s="30">
        <f>$E12/spotřeba!$C$8</f>
        <v>728.64</v>
      </c>
      <c r="N12" s="31">
        <f>$F12/spotřeba!$C$8</f>
        <v>881.65440000000001</v>
      </c>
      <c r="O12" s="32">
        <f>$E12/spotřeba!$C$9</f>
        <v>1035</v>
      </c>
      <c r="P12" s="33">
        <f>$F12/spotřeba!$C$9</f>
        <v>1252.3499999999999</v>
      </c>
    </row>
    <row r="13" spans="1:16" ht="15" customHeight="1" x14ac:dyDescent="0.25">
      <c r="A13" s="1" t="str">
        <f t="shared" si="1"/>
        <v>2473064-7</v>
      </c>
      <c r="B13" s="25">
        <v>247306</v>
      </c>
      <c r="C13" s="26" t="s">
        <v>51</v>
      </c>
      <c r="D13" s="27" t="s">
        <v>32</v>
      </c>
      <c r="E13" s="28">
        <v>910.8</v>
      </c>
      <c r="F13" s="29">
        <f t="shared" si="0"/>
        <v>1102.068</v>
      </c>
      <c r="G13" s="30" t="s">
        <v>24</v>
      </c>
      <c r="H13" s="31" t="s">
        <v>24</v>
      </c>
      <c r="I13" s="32" t="s">
        <v>24</v>
      </c>
      <c r="J13" s="207" t="s">
        <v>24</v>
      </c>
      <c r="K13" s="32">
        <f>$E13/spotřeba!$C$7</f>
        <v>607.19999999999993</v>
      </c>
      <c r="L13" s="33">
        <f>$F13/spotřeba!$C$7</f>
        <v>734.71199999999999</v>
      </c>
      <c r="M13" s="30">
        <f>$E13/spotřeba!$C$8</f>
        <v>728.64</v>
      </c>
      <c r="N13" s="31">
        <f>$F13/spotřeba!$C$8</f>
        <v>881.65440000000001</v>
      </c>
      <c r="O13" s="32">
        <f>$E13/spotřeba!$C$9</f>
        <v>1035</v>
      </c>
      <c r="P13" s="33">
        <f>$F13/spotřeba!$C$9</f>
        <v>1252.3499999999999</v>
      </c>
    </row>
    <row r="14" spans="1:16" ht="15" customHeight="1" x14ac:dyDescent="0.25">
      <c r="A14" s="1" t="str">
        <f t="shared" si="1"/>
        <v>2243392-4</v>
      </c>
      <c r="B14" s="25">
        <v>224339</v>
      </c>
      <c r="C14" s="26" t="s">
        <v>77</v>
      </c>
      <c r="D14" s="27" t="s">
        <v>26</v>
      </c>
      <c r="E14" s="28">
        <v>910.8</v>
      </c>
      <c r="F14" s="29">
        <f t="shared" si="0"/>
        <v>1102.068</v>
      </c>
      <c r="G14" s="30">
        <f>$E14/spotřeba!$C$5</f>
        <v>413.99999999999994</v>
      </c>
      <c r="H14" s="31">
        <f>$F14/spotřeba!$C$5</f>
        <v>500.93999999999994</v>
      </c>
      <c r="I14" s="32">
        <f>$E14/spotřeba!$C$6</f>
        <v>505.99999999999994</v>
      </c>
      <c r="J14" s="33">
        <f>$F14/spotřeba!$C$6</f>
        <v>612.26</v>
      </c>
      <c r="K14" s="32">
        <f>$E14/spotřeba!$C$7</f>
        <v>607.19999999999993</v>
      </c>
      <c r="L14" s="207">
        <f>$F14/spotřeba!$C$7</f>
        <v>734.71199999999999</v>
      </c>
      <c r="M14" s="30">
        <f>$E14/spotřeba!$C$8</f>
        <v>728.64</v>
      </c>
      <c r="N14" s="31">
        <f>$F14/spotřeba!$C$8</f>
        <v>881.65440000000001</v>
      </c>
      <c r="O14" s="32">
        <f>$E14/spotřeba!$C$9</f>
        <v>1035</v>
      </c>
      <c r="P14" s="33">
        <f>$F14/spotřeba!$C$9</f>
        <v>1252.3499999999999</v>
      </c>
    </row>
    <row r="15" spans="1:16" ht="15" customHeight="1" x14ac:dyDescent="0.25">
      <c r="A15" s="1" t="str">
        <f t="shared" si="1"/>
        <v>2473394-7</v>
      </c>
      <c r="B15" s="25">
        <v>247339</v>
      </c>
      <c r="C15" s="26" t="s">
        <v>77</v>
      </c>
      <c r="D15" s="27" t="s">
        <v>32</v>
      </c>
      <c r="E15" s="28">
        <v>910.8</v>
      </c>
      <c r="F15" s="29">
        <f t="shared" si="0"/>
        <v>1102.068</v>
      </c>
      <c r="G15" s="30" t="s">
        <v>24</v>
      </c>
      <c r="H15" s="31" t="s">
        <v>24</v>
      </c>
      <c r="I15" s="32" t="s">
        <v>24</v>
      </c>
      <c r="J15" s="207" t="s">
        <v>24</v>
      </c>
      <c r="K15" s="32">
        <f>$E15/spotřeba!$C$7</f>
        <v>607.19999999999993</v>
      </c>
      <c r="L15" s="33">
        <f>$F15/spotřeba!$C$7</f>
        <v>734.71199999999999</v>
      </c>
      <c r="M15" s="30">
        <f>$E15/spotřeba!$C$8</f>
        <v>728.64</v>
      </c>
      <c r="N15" s="31">
        <f>$F15/spotřeba!$C$8</f>
        <v>881.65440000000001</v>
      </c>
      <c r="O15" s="32">
        <f>$E15/spotřeba!$C$9</f>
        <v>1035</v>
      </c>
      <c r="P15" s="33">
        <f>$F15/spotřeba!$C$9</f>
        <v>1252.3499999999999</v>
      </c>
    </row>
    <row r="16" spans="1:16" ht="15" customHeight="1" x14ac:dyDescent="0.25">
      <c r="A16" s="1" t="str">
        <f t="shared" si="1"/>
        <v>2243282-4</v>
      </c>
      <c r="B16" s="25">
        <v>224328</v>
      </c>
      <c r="C16" s="26" t="s">
        <v>67</v>
      </c>
      <c r="D16" s="27" t="s">
        <v>26</v>
      </c>
      <c r="E16" s="28">
        <v>910.8</v>
      </c>
      <c r="F16" s="29">
        <f t="shared" si="0"/>
        <v>1102.068</v>
      </c>
      <c r="G16" s="30">
        <f>$E16/spotřeba!$C$5</f>
        <v>413.99999999999994</v>
      </c>
      <c r="H16" s="31">
        <f>$F16/spotřeba!$C$5</f>
        <v>500.93999999999994</v>
      </c>
      <c r="I16" s="32">
        <f>$E16/spotřeba!$C$6</f>
        <v>505.99999999999994</v>
      </c>
      <c r="J16" s="33">
        <f>$F16/spotřeba!$C$6</f>
        <v>612.26</v>
      </c>
      <c r="K16" s="32">
        <f>$E16/spotřeba!$C$7</f>
        <v>607.19999999999993</v>
      </c>
      <c r="L16" s="207">
        <f>$F16/spotřeba!$C$7</f>
        <v>734.71199999999999</v>
      </c>
      <c r="M16" s="30">
        <f>$E16/spotřeba!$C$8</f>
        <v>728.64</v>
      </c>
      <c r="N16" s="31">
        <f>$F16/spotřeba!$C$8</f>
        <v>881.65440000000001</v>
      </c>
      <c r="O16" s="32">
        <f>$E16/spotřeba!$C$9</f>
        <v>1035</v>
      </c>
      <c r="P16" s="33">
        <f>$F16/spotřeba!$C$9</f>
        <v>1252.3499999999999</v>
      </c>
    </row>
    <row r="17" spans="1:16" ht="15" customHeight="1" x14ac:dyDescent="0.25">
      <c r="A17" s="1" t="str">
        <f t="shared" si="1"/>
        <v>2473284-7</v>
      </c>
      <c r="B17" s="25">
        <v>247328</v>
      </c>
      <c r="C17" s="26" t="s">
        <v>67</v>
      </c>
      <c r="D17" s="27" t="s">
        <v>32</v>
      </c>
      <c r="E17" s="28">
        <v>910.8</v>
      </c>
      <c r="F17" s="29">
        <f t="shared" si="0"/>
        <v>1102.068</v>
      </c>
      <c r="G17" s="30" t="s">
        <v>24</v>
      </c>
      <c r="H17" s="31" t="s">
        <v>24</v>
      </c>
      <c r="I17" s="32" t="s">
        <v>24</v>
      </c>
      <c r="J17" s="33" t="s">
        <v>24</v>
      </c>
      <c r="K17" s="32">
        <f>$E17/spotřeba!$C$7</f>
        <v>607.19999999999993</v>
      </c>
      <c r="L17" s="207">
        <f>$F17/spotřeba!$C$7</f>
        <v>734.71199999999999</v>
      </c>
      <c r="M17" s="30">
        <f>$E17/spotřeba!$C$8</f>
        <v>728.64</v>
      </c>
      <c r="N17" s="31">
        <f>$F17/spotřeba!$C$8</f>
        <v>881.65440000000001</v>
      </c>
      <c r="O17" s="32">
        <f>$E17/spotřeba!$C$9</f>
        <v>1035</v>
      </c>
      <c r="P17" s="33">
        <f>$F17/spotřeba!$C$9</f>
        <v>1252.3499999999999</v>
      </c>
    </row>
    <row r="18" spans="1:16" ht="15" customHeight="1" x14ac:dyDescent="0.25">
      <c r="A18" s="1" t="str">
        <f t="shared" si="1"/>
        <v>2243552-4</v>
      </c>
      <c r="B18" s="25">
        <v>224355</v>
      </c>
      <c r="C18" s="26" t="s">
        <v>88</v>
      </c>
      <c r="D18" s="27" t="s">
        <v>26</v>
      </c>
      <c r="E18" s="28">
        <v>910.8</v>
      </c>
      <c r="F18" s="29">
        <f t="shared" si="0"/>
        <v>1102.068</v>
      </c>
      <c r="G18" s="30">
        <f>$E18/spotřeba!$C$5</f>
        <v>413.99999999999994</v>
      </c>
      <c r="H18" s="31">
        <f>$F18/spotřeba!$C$5</f>
        <v>500.93999999999994</v>
      </c>
      <c r="I18" s="32">
        <f>$E18/spotřeba!$C$6</f>
        <v>505.99999999999994</v>
      </c>
      <c r="J18" s="207">
        <f>$F18/spotřeba!$C$6</f>
        <v>612.26</v>
      </c>
      <c r="K18" s="32">
        <f>$E18/spotřeba!$C$7</f>
        <v>607.19999999999993</v>
      </c>
      <c r="L18" s="33">
        <f>$F18/spotřeba!$C$7</f>
        <v>734.71199999999999</v>
      </c>
      <c r="M18" s="30">
        <f>$E18/spotřeba!$C$8</f>
        <v>728.64</v>
      </c>
      <c r="N18" s="31">
        <f>$F18/spotřeba!$C$8</f>
        <v>881.65440000000001</v>
      </c>
      <c r="O18" s="32">
        <f>$E18/spotřeba!$C$9</f>
        <v>1035</v>
      </c>
      <c r="P18" s="33">
        <f>$F18/spotřeba!$C$9</f>
        <v>1252.3499999999999</v>
      </c>
    </row>
    <row r="19" spans="1:16" ht="15" customHeight="1" x14ac:dyDescent="0.25">
      <c r="A19" s="1" t="str">
        <f t="shared" si="1"/>
        <v>2473554-7</v>
      </c>
      <c r="B19" s="25">
        <v>247355</v>
      </c>
      <c r="C19" s="26" t="s">
        <v>88</v>
      </c>
      <c r="D19" s="27" t="s">
        <v>32</v>
      </c>
      <c r="E19" s="28">
        <v>910.8</v>
      </c>
      <c r="F19" s="29">
        <f t="shared" si="0"/>
        <v>1102.068</v>
      </c>
      <c r="G19" s="30" t="s">
        <v>24</v>
      </c>
      <c r="H19" s="31" t="s">
        <v>24</v>
      </c>
      <c r="I19" s="32" t="s">
        <v>24</v>
      </c>
      <c r="J19" s="207" t="s">
        <v>24</v>
      </c>
      <c r="K19" s="32">
        <f>$E19/spotřeba!$C$7</f>
        <v>607.19999999999993</v>
      </c>
      <c r="L19" s="207">
        <f>$F19/spotřeba!$C$7</f>
        <v>734.71199999999999</v>
      </c>
      <c r="M19" s="30">
        <f>$E19/spotřeba!$C$8</f>
        <v>728.64</v>
      </c>
      <c r="N19" s="31">
        <f>$F19/spotřeba!$C$8</f>
        <v>881.65440000000001</v>
      </c>
      <c r="O19" s="32">
        <f>$E19/spotřeba!$C$9</f>
        <v>1035</v>
      </c>
      <c r="P19" s="33">
        <f>$F19/spotřeba!$C$9</f>
        <v>1252.3499999999999</v>
      </c>
    </row>
    <row r="20" spans="1:16" ht="15" customHeight="1" x14ac:dyDescent="0.25">
      <c r="A20" s="1" t="str">
        <f t="shared" si="1"/>
        <v>2243642-4</v>
      </c>
      <c r="B20" s="25">
        <v>224364</v>
      </c>
      <c r="C20" s="26" t="s">
        <v>97</v>
      </c>
      <c r="D20" s="27" t="s">
        <v>26</v>
      </c>
      <c r="E20" s="28">
        <v>910.8</v>
      </c>
      <c r="F20" s="29">
        <f t="shared" si="0"/>
        <v>1102.068</v>
      </c>
      <c r="G20" s="30">
        <f>$E20/spotřeba!$C$5</f>
        <v>413.99999999999994</v>
      </c>
      <c r="H20" s="31">
        <f>$F20/spotřeba!$C$5</f>
        <v>500.93999999999994</v>
      </c>
      <c r="I20" s="32">
        <f>$E20/spotřeba!$C$6</f>
        <v>505.99999999999994</v>
      </c>
      <c r="J20" s="33">
        <f>$F20/spotřeba!$C$6</f>
        <v>612.26</v>
      </c>
      <c r="K20" s="32">
        <f>$E20/spotřeba!$C$7</f>
        <v>607.19999999999993</v>
      </c>
      <c r="L20" s="207">
        <f>$F20/spotřeba!$C$7</f>
        <v>734.71199999999999</v>
      </c>
      <c r="M20" s="30">
        <f>$E20/spotřeba!$C$8</f>
        <v>728.64</v>
      </c>
      <c r="N20" s="31">
        <f>$F20/spotřeba!$C$8</f>
        <v>881.65440000000001</v>
      </c>
      <c r="O20" s="32">
        <f>$E20/spotřeba!$C$9</f>
        <v>1035</v>
      </c>
      <c r="P20" s="33">
        <f>$F20/spotřeba!$C$9</f>
        <v>1252.3499999999999</v>
      </c>
    </row>
    <row r="21" spans="1:16" ht="15" customHeight="1" x14ac:dyDescent="0.25">
      <c r="A21" s="1" t="str">
        <f t="shared" si="1"/>
        <v>2473644-7</v>
      </c>
      <c r="B21" s="25">
        <v>247364</v>
      </c>
      <c r="C21" s="26" t="s">
        <v>97</v>
      </c>
      <c r="D21" s="27" t="s">
        <v>32</v>
      </c>
      <c r="E21" s="28">
        <v>910.8</v>
      </c>
      <c r="F21" s="29">
        <f t="shared" si="0"/>
        <v>1102.068</v>
      </c>
      <c r="G21" s="30" t="s">
        <v>24</v>
      </c>
      <c r="H21" s="31" t="s">
        <v>24</v>
      </c>
      <c r="I21" s="32" t="s">
        <v>24</v>
      </c>
      <c r="J21" s="207" t="s">
        <v>24</v>
      </c>
      <c r="K21" s="32">
        <f>$E21/spotřeba!$C$7</f>
        <v>607.19999999999993</v>
      </c>
      <c r="L21" s="207">
        <f>$F21/spotřeba!$C$7</f>
        <v>734.71199999999999</v>
      </c>
      <c r="M21" s="30">
        <f>$E21/spotřeba!$C$8</f>
        <v>728.64</v>
      </c>
      <c r="N21" s="31">
        <f>$F21/spotřeba!$C$8</f>
        <v>881.65440000000001</v>
      </c>
      <c r="O21" s="32">
        <f>$E21/spotřeba!$C$9</f>
        <v>1035</v>
      </c>
      <c r="P21" s="207">
        <f>$F21/spotřeba!$C$9</f>
        <v>1252.3499999999999</v>
      </c>
    </row>
    <row r="22" spans="1:16" ht="15" customHeight="1" x14ac:dyDescent="0.25">
      <c r="A22" s="1" t="str">
        <f t="shared" si="1"/>
        <v>2243622-4</v>
      </c>
      <c r="B22" s="25">
        <v>224362</v>
      </c>
      <c r="C22" s="26" t="s">
        <v>95</v>
      </c>
      <c r="D22" s="27" t="s">
        <v>26</v>
      </c>
      <c r="E22" s="28">
        <v>910.8</v>
      </c>
      <c r="F22" s="29">
        <f t="shared" si="0"/>
        <v>1102.068</v>
      </c>
      <c r="G22" s="30">
        <f>$E22/spotřeba!$C$5</f>
        <v>413.99999999999994</v>
      </c>
      <c r="H22" s="31">
        <f>$F22/spotřeba!$C$5</f>
        <v>500.93999999999994</v>
      </c>
      <c r="I22" s="32">
        <f>$E22/spotřeba!$C$6</f>
        <v>505.99999999999994</v>
      </c>
      <c r="J22" s="33">
        <f>$F22/spotřeba!$C$6</f>
        <v>612.26</v>
      </c>
      <c r="K22" s="32">
        <f>$E22/spotřeba!$C$7</f>
        <v>607.19999999999993</v>
      </c>
      <c r="L22" s="207">
        <f>$F22/spotřeba!$C$7</f>
        <v>734.71199999999999</v>
      </c>
      <c r="M22" s="30">
        <f>$E22/spotřeba!$C$8</f>
        <v>728.64</v>
      </c>
      <c r="N22" s="31">
        <f>$F22/spotřeba!$C$8</f>
        <v>881.65440000000001</v>
      </c>
      <c r="O22" s="32">
        <f>$E22/spotřeba!$C$9</f>
        <v>1035</v>
      </c>
      <c r="P22" s="33">
        <f>$F22/spotřeba!$C$9</f>
        <v>1252.3499999999999</v>
      </c>
    </row>
    <row r="23" spans="1:16" ht="15" customHeight="1" x14ac:dyDescent="0.25">
      <c r="A23" s="1" t="str">
        <f t="shared" si="1"/>
        <v>2473624-7</v>
      </c>
      <c r="B23" s="25">
        <v>247362</v>
      </c>
      <c r="C23" s="26" t="s">
        <v>95</v>
      </c>
      <c r="D23" s="27" t="s">
        <v>32</v>
      </c>
      <c r="E23" s="28">
        <v>910.8</v>
      </c>
      <c r="F23" s="29">
        <f t="shared" si="0"/>
        <v>1102.068</v>
      </c>
      <c r="G23" s="30" t="s">
        <v>24</v>
      </c>
      <c r="H23" s="31" t="s">
        <v>24</v>
      </c>
      <c r="I23" s="32" t="s">
        <v>24</v>
      </c>
      <c r="J23" s="207" t="s">
        <v>24</v>
      </c>
      <c r="K23" s="32">
        <f>$E23/spotřeba!$C$7</f>
        <v>607.19999999999993</v>
      </c>
      <c r="L23" s="207">
        <f>$F23/spotřeba!$C$7</f>
        <v>734.71199999999999</v>
      </c>
      <c r="M23" s="30">
        <f>$E23/spotřeba!$C$8</f>
        <v>728.64</v>
      </c>
      <c r="N23" s="31">
        <f>$F23/spotřeba!$C$8</f>
        <v>881.65440000000001</v>
      </c>
      <c r="O23" s="32">
        <f>$E23/spotřeba!$C$9</f>
        <v>1035</v>
      </c>
      <c r="P23" s="33">
        <f>$F23/spotřeba!$C$9</f>
        <v>1252.3499999999999</v>
      </c>
    </row>
    <row r="24" spans="1:16" ht="15" customHeight="1" x14ac:dyDescent="0.25">
      <c r="A24" s="1" t="str">
        <f t="shared" si="1"/>
        <v>2243052-4</v>
      </c>
      <c r="B24" s="25">
        <v>224305</v>
      </c>
      <c r="C24" s="26" t="s">
        <v>50</v>
      </c>
      <c r="D24" s="27" t="s">
        <v>26</v>
      </c>
      <c r="E24" s="28">
        <v>910.8</v>
      </c>
      <c r="F24" s="29">
        <f t="shared" si="0"/>
        <v>1102.068</v>
      </c>
      <c r="G24" s="30">
        <f>$E24/spotřeba!$C$5</f>
        <v>413.99999999999994</v>
      </c>
      <c r="H24" s="31">
        <f>$F24/spotřeba!$C$5</f>
        <v>500.93999999999994</v>
      </c>
      <c r="I24" s="32">
        <f>$E24/spotřeba!$C$6</f>
        <v>505.99999999999994</v>
      </c>
      <c r="J24" s="33">
        <f>$F24/spotřeba!$C$6</f>
        <v>612.26</v>
      </c>
      <c r="K24" s="32">
        <f>$E24/spotřeba!$C$7</f>
        <v>607.19999999999993</v>
      </c>
      <c r="L24" s="207">
        <f>$F24/spotřeba!$C$7</f>
        <v>734.71199999999999</v>
      </c>
      <c r="M24" s="30">
        <f>$E24/spotřeba!$C$8</f>
        <v>728.64</v>
      </c>
      <c r="N24" s="31">
        <f>$F24/spotřeba!$C$8</f>
        <v>881.65440000000001</v>
      </c>
      <c r="O24" s="32">
        <f>$E24/spotřeba!$C$9</f>
        <v>1035</v>
      </c>
      <c r="P24" s="33">
        <f>$F24/spotřeba!$C$9</f>
        <v>1252.3499999999999</v>
      </c>
    </row>
    <row r="25" spans="1:16" ht="15" customHeight="1" x14ac:dyDescent="0.25">
      <c r="A25" s="1" t="str">
        <f t="shared" si="1"/>
        <v>2473054-7</v>
      </c>
      <c r="B25" s="25">
        <v>247305</v>
      </c>
      <c r="C25" s="26" t="s">
        <v>50</v>
      </c>
      <c r="D25" s="27" t="s">
        <v>32</v>
      </c>
      <c r="E25" s="28">
        <v>910.8</v>
      </c>
      <c r="F25" s="29">
        <f t="shared" si="0"/>
        <v>1102.068</v>
      </c>
      <c r="G25" s="30" t="s">
        <v>24</v>
      </c>
      <c r="H25" s="31" t="s">
        <v>24</v>
      </c>
      <c r="I25" s="32" t="s">
        <v>24</v>
      </c>
      <c r="J25" s="207" t="s">
        <v>24</v>
      </c>
      <c r="K25" s="32">
        <f>$E25/spotřeba!$C$7</f>
        <v>607.19999999999993</v>
      </c>
      <c r="L25" s="207">
        <f>$F25/spotřeba!$C$7</f>
        <v>734.71199999999999</v>
      </c>
      <c r="M25" s="30">
        <f>$E25/spotřeba!$C$8</f>
        <v>728.64</v>
      </c>
      <c r="N25" s="31">
        <f>$F25/spotřeba!$C$8</f>
        <v>881.65440000000001</v>
      </c>
      <c r="O25" s="32">
        <f>$E25/spotřeba!$C$9</f>
        <v>1035</v>
      </c>
      <c r="P25" s="33">
        <f>$F25/spotřeba!$C$9</f>
        <v>1252.3499999999999</v>
      </c>
    </row>
    <row r="26" spans="1:16" ht="15" customHeight="1" x14ac:dyDescent="0.25">
      <c r="A26" s="1" t="str">
        <f t="shared" si="1"/>
        <v>2243632-4</v>
      </c>
      <c r="B26" s="25">
        <v>224363</v>
      </c>
      <c r="C26" s="26" t="s">
        <v>96</v>
      </c>
      <c r="D26" s="27" t="s">
        <v>26</v>
      </c>
      <c r="E26" s="28">
        <v>910.8</v>
      </c>
      <c r="F26" s="29">
        <f t="shared" si="0"/>
        <v>1102.068</v>
      </c>
      <c r="G26" s="30">
        <f>$E26/spotřeba!$C$5</f>
        <v>413.99999999999994</v>
      </c>
      <c r="H26" s="31">
        <f>$F26/spotřeba!$C$5</f>
        <v>500.93999999999994</v>
      </c>
      <c r="I26" s="32">
        <f>$E26/spotřeba!$C$6</f>
        <v>505.99999999999994</v>
      </c>
      <c r="J26" s="33">
        <f>$F26/spotřeba!$C$6</f>
        <v>612.26</v>
      </c>
      <c r="K26" s="32">
        <f>$E26/spotřeba!$C$7</f>
        <v>607.19999999999993</v>
      </c>
      <c r="L26" s="207">
        <f>$F26/spotřeba!$C$7</f>
        <v>734.71199999999999</v>
      </c>
      <c r="M26" s="30">
        <f>$E26/spotřeba!$C$8</f>
        <v>728.64</v>
      </c>
      <c r="N26" s="31">
        <f>$F26/spotřeba!$C$8</f>
        <v>881.65440000000001</v>
      </c>
      <c r="O26" s="32">
        <f>$E26/spotřeba!$C$9</f>
        <v>1035</v>
      </c>
      <c r="P26" s="33">
        <f>$F26/spotřeba!$C$9</f>
        <v>1252.3499999999999</v>
      </c>
    </row>
    <row r="27" spans="1:16" ht="15" customHeight="1" x14ac:dyDescent="0.25">
      <c r="A27" s="1" t="str">
        <f t="shared" si="1"/>
        <v>2473634-7</v>
      </c>
      <c r="B27" s="25">
        <v>247363</v>
      </c>
      <c r="C27" s="26" t="s">
        <v>96</v>
      </c>
      <c r="D27" s="27" t="s">
        <v>32</v>
      </c>
      <c r="E27" s="28">
        <v>910.8</v>
      </c>
      <c r="F27" s="29">
        <f t="shared" si="0"/>
        <v>1102.068</v>
      </c>
      <c r="G27" s="30" t="s">
        <v>24</v>
      </c>
      <c r="H27" s="31" t="s">
        <v>24</v>
      </c>
      <c r="I27" s="32" t="s">
        <v>24</v>
      </c>
      <c r="J27" s="207" t="s">
        <v>24</v>
      </c>
      <c r="K27" s="32">
        <f>$E27/spotřeba!$C$7</f>
        <v>607.19999999999993</v>
      </c>
      <c r="L27" s="207">
        <f>$F27/spotřeba!$C$7</f>
        <v>734.71199999999999</v>
      </c>
      <c r="M27" s="30">
        <f>$E27/spotřeba!$C$8</f>
        <v>728.64</v>
      </c>
      <c r="N27" s="31">
        <f>$F27/spotřeba!$C$8</f>
        <v>881.65440000000001</v>
      </c>
      <c r="O27" s="32">
        <f>$E27/spotřeba!$C$9</f>
        <v>1035</v>
      </c>
      <c r="P27" s="33">
        <f>$F27/spotřeba!$C$9</f>
        <v>1252.3499999999999</v>
      </c>
    </row>
    <row r="28" spans="1:16" ht="15" customHeight="1" x14ac:dyDescent="0.25">
      <c r="A28" s="1" t="str">
        <f t="shared" si="1"/>
        <v>2243522-4</v>
      </c>
      <c r="B28" s="25">
        <v>224352</v>
      </c>
      <c r="C28" s="26" t="s">
        <v>86</v>
      </c>
      <c r="D28" s="27" t="s">
        <v>26</v>
      </c>
      <c r="E28" s="28">
        <v>910.8</v>
      </c>
      <c r="F28" s="29">
        <f t="shared" si="0"/>
        <v>1102.068</v>
      </c>
      <c r="G28" s="30">
        <f>$E28/spotřeba!$C$5</f>
        <v>413.99999999999994</v>
      </c>
      <c r="H28" s="31">
        <f>$F28/spotřeba!$C$5</f>
        <v>500.93999999999994</v>
      </c>
      <c r="I28" s="32">
        <f>$E28/spotřeba!$C$6</f>
        <v>505.99999999999994</v>
      </c>
      <c r="J28" s="33">
        <f>$F28/spotřeba!$C$6</f>
        <v>612.26</v>
      </c>
      <c r="K28" s="32">
        <f>$E28/spotřeba!$C$7</f>
        <v>607.19999999999993</v>
      </c>
      <c r="L28" s="207">
        <f>$F28/spotřeba!$C$7</f>
        <v>734.71199999999999</v>
      </c>
      <c r="M28" s="30">
        <f>$E28/spotřeba!$C$8</f>
        <v>728.64</v>
      </c>
      <c r="N28" s="31">
        <f>$F28/spotřeba!$C$8</f>
        <v>881.65440000000001</v>
      </c>
      <c r="O28" s="32">
        <f>$E28/spotřeba!$C$9</f>
        <v>1035</v>
      </c>
      <c r="P28" s="33">
        <f>$F28/spotřeba!$C$9</f>
        <v>1252.3499999999999</v>
      </c>
    </row>
    <row r="29" spans="1:16" ht="15" customHeight="1" x14ac:dyDescent="0.25">
      <c r="A29" s="1" t="str">
        <f t="shared" si="1"/>
        <v>2473524-7</v>
      </c>
      <c r="B29" s="25">
        <v>247352</v>
      </c>
      <c r="C29" s="26" t="s">
        <v>86</v>
      </c>
      <c r="D29" s="27" t="s">
        <v>32</v>
      </c>
      <c r="E29" s="28">
        <v>910.8</v>
      </c>
      <c r="F29" s="29">
        <f t="shared" si="0"/>
        <v>1102.068</v>
      </c>
      <c r="G29" s="30" t="s">
        <v>24</v>
      </c>
      <c r="H29" s="31" t="s">
        <v>24</v>
      </c>
      <c r="I29" s="32" t="s">
        <v>24</v>
      </c>
      <c r="J29" s="207" t="s">
        <v>24</v>
      </c>
      <c r="K29" s="32">
        <f>$E29/spotřeba!$C$7</f>
        <v>607.19999999999993</v>
      </c>
      <c r="L29" s="207">
        <f>$F29/spotřeba!$C$7</f>
        <v>734.71199999999999</v>
      </c>
      <c r="M29" s="30">
        <f>$E29/spotřeba!$C$8</f>
        <v>728.64</v>
      </c>
      <c r="N29" s="31">
        <f>$F29/spotřeba!$C$8</f>
        <v>881.65440000000001</v>
      </c>
      <c r="O29" s="32">
        <f>$E29/spotřeba!$C$9</f>
        <v>1035</v>
      </c>
      <c r="P29" s="33">
        <f>$F29/spotřeba!$C$9</f>
        <v>1252.3499999999999</v>
      </c>
    </row>
    <row r="30" spans="1:16" ht="15" customHeight="1" x14ac:dyDescent="0.25">
      <c r="A30" s="1" t="str">
        <f t="shared" si="1"/>
        <v>2281032-8</v>
      </c>
      <c r="B30" s="25">
        <v>228103</v>
      </c>
      <c r="C30" s="26" t="s">
        <v>27</v>
      </c>
      <c r="D30" s="27" t="s">
        <v>28</v>
      </c>
      <c r="E30" s="28">
        <v>566.4</v>
      </c>
      <c r="F30" s="29">
        <f t="shared" si="0"/>
        <v>685.34399999999994</v>
      </c>
      <c r="G30" s="30" t="s">
        <v>24</v>
      </c>
      <c r="H30" s="31" t="s">
        <v>24</v>
      </c>
      <c r="I30" s="32" t="s">
        <v>24</v>
      </c>
      <c r="J30" s="33" t="s">
        <v>24</v>
      </c>
      <c r="K30" s="32">
        <f>$E30/spotřeba!$C$7</f>
        <v>377.59999999999997</v>
      </c>
      <c r="L30" s="207">
        <f>$F30/spotřeba!$C$7</f>
        <v>456.89599999999996</v>
      </c>
      <c r="M30" s="30">
        <f>$E30/spotřeba!$C$8</f>
        <v>453.12</v>
      </c>
      <c r="N30" s="31">
        <f>$F30/spotřeba!$C$8</f>
        <v>548.27519999999993</v>
      </c>
      <c r="O30" s="32">
        <f>$E30/spotřeba!$C$9</f>
        <v>643.63636363636363</v>
      </c>
      <c r="P30" s="33">
        <f>$F30/spotřeba!$C$9</f>
        <v>778.8</v>
      </c>
    </row>
    <row r="31" spans="1:16" ht="15" customHeight="1" x14ac:dyDescent="0.25">
      <c r="A31" s="1" t="str">
        <f t="shared" si="1"/>
        <v>2243302-4</v>
      </c>
      <c r="B31" s="25">
        <v>224330</v>
      </c>
      <c r="C31" s="26" t="s">
        <v>69</v>
      </c>
      <c r="D31" s="27" t="s">
        <v>26</v>
      </c>
      <c r="E31" s="28">
        <v>910.8</v>
      </c>
      <c r="F31" s="29">
        <f t="shared" si="0"/>
        <v>1102.068</v>
      </c>
      <c r="G31" s="30">
        <f>$E31/spotřeba!$C$5</f>
        <v>413.99999999999994</v>
      </c>
      <c r="H31" s="31">
        <f>$F31/spotřeba!$C$5</f>
        <v>500.93999999999994</v>
      </c>
      <c r="I31" s="32">
        <f>$E31/spotřeba!$C$6</f>
        <v>505.99999999999994</v>
      </c>
      <c r="J31" s="33">
        <f>$F31/spotřeba!$C$6</f>
        <v>612.26</v>
      </c>
      <c r="K31" s="32">
        <f>$E31/spotřeba!$C$7</f>
        <v>607.19999999999993</v>
      </c>
      <c r="L31" s="207">
        <f>$F31/spotřeba!$C$7</f>
        <v>734.71199999999999</v>
      </c>
      <c r="M31" s="30">
        <f>$E31/spotřeba!$C$8</f>
        <v>728.64</v>
      </c>
      <c r="N31" s="31">
        <f>$F31/spotřeba!$C$8</f>
        <v>881.65440000000001</v>
      </c>
      <c r="O31" s="32">
        <f>$E31/spotřeba!$C$9</f>
        <v>1035</v>
      </c>
      <c r="P31" s="33">
        <f>$F31/spotřeba!$C$9</f>
        <v>1252.3499999999999</v>
      </c>
    </row>
    <row r="32" spans="1:16" ht="15" customHeight="1" x14ac:dyDescent="0.25">
      <c r="A32" s="1" t="str">
        <f t="shared" si="1"/>
        <v>2473304-7</v>
      </c>
      <c r="B32" s="25">
        <v>247330</v>
      </c>
      <c r="C32" s="26" t="s">
        <v>69</v>
      </c>
      <c r="D32" s="27" t="s">
        <v>32</v>
      </c>
      <c r="E32" s="28">
        <v>910.8</v>
      </c>
      <c r="F32" s="29">
        <f t="shared" si="0"/>
        <v>1102.068</v>
      </c>
      <c r="G32" s="30" t="s">
        <v>24</v>
      </c>
      <c r="H32" s="31" t="s">
        <v>24</v>
      </c>
      <c r="I32" s="32" t="s">
        <v>24</v>
      </c>
      <c r="J32" s="207" t="s">
        <v>24</v>
      </c>
      <c r="K32" s="32">
        <f>$E32/spotřeba!$C$7</f>
        <v>607.19999999999993</v>
      </c>
      <c r="L32" s="207">
        <f>$F32/spotřeba!$C$7</f>
        <v>734.71199999999999</v>
      </c>
      <c r="M32" s="30">
        <f>$E32/spotřeba!$C$8</f>
        <v>728.64</v>
      </c>
      <c r="N32" s="31">
        <f>$F32/spotřeba!$C$8</f>
        <v>881.65440000000001</v>
      </c>
      <c r="O32" s="32">
        <f>$E32/spotřeba!$C$9</f>
        <v>1035</v>
      </c>
      <c r="P32" s="33">
        <f>$F32/spotřeba!$C$9</f>
        <v>1252.3499999999999</v>
      </c>
    </row>
    <row r="33" spans="1:16" ht="15" customHeight="1" x14ac:dyDescent="0.25">
      <c r="A33" s="1" t="str">
        <f t="shared" si="1"/>
        <v>2243232-4</v>
      </c>
      <c r="B33" s="25">
        <v>224323</v>
      </c>
      <c r="C33" s="34" t="s">
        <v>63</v>
      </c>
      <c r="D33" s="27" t="s">
        <v>26</v>
      </c>
      <c r="E33" s="28">
        <v>910.8</v>
      </c>
      <c r="F33" s="29">
        <f t="shared" si="0"/>
        <v>1102.068</v>
      </c>
      <c r="G33" s="30">
        <f>$E33/spotřeba!$C$5</f>
        <v>413.99999999999994</v>
      </c>
      <c r="H33" s="31">
        <f>$F33/spotřeba!$C$5</f>
        <v>500.93999999999994</v>
      </c>
      <c r="I33" s="32">
        <f>$E33/spotřeba!$C$6</f>
        <v>505.99999999999994</v>
      </c>
      <c r="J33" s="33">
        <f>$F33/spotřeba!$C$6</f>
        <v>612.26</v>
      </c>
      <c r="K33" s="30">
        <f>$E33/spotřeba!$C$7</f>
        <v>607.19999999999993</v>
      </c>
      <c r="L33" s="31">
        <f>$F33/spotřeba!$C$7</f>
        <v>734.71199999999999</v>
      </c>
      <c r="M33" s="32">
        <f>$E33/spotřeba!$C$8</f>
        <v>728.64</v>
      </c>
      <c r="N33" s="33">
        <f>$F33/spotřeba!$C$8</f>
        <v>881.65440000000001</v>
      </c>
      <c r="O33" s="30">
        <f>$E33/spotřeba!$C$9</f>
        <v>1035</v>
      </c>
      <c r="P33" s="33">
        <f>$F33/spotřeba!$C$9</f>
        <v>1252.3499999999999</v>
      </c>
    </row>
    <row r="34" spans="1:16" ht="15" customHeight="1" x14ac:dyDescent="0.25">
      <c r="A34" s="1" t="str">
        <f t="shared" si="1"/>
        <v>2473234-7</v>
      </c>
      <c r="B34" s="25">
        <v>247323</v>
      </c>
      <c r="C34" s="34" t="s">
        <v>63</v>
      </c>
      <c r="D34" s="27" t="s">
        <v>32</v>
      </c>
      <c r="E34" s="28">
        <v>910.8</v>
      </c>
      <c r="F34" s="29">
        <f t="shared" si="0"/>
        <v>1102.068</v>
      </c>
      <c r="G34" s="30" t="s">
        <v>24</v>
      </c>
      <c r="H34" s="31" t="s">
        <v>24</v>
      </c>
      <c r="I34" s="32" t="s">
        <v>24</v>
      </c>
      <c r="J34" s="207" t="s">
        <v>24</v>
      </c>
      <c r="K34" s="30">
        <f>$E34/spotřeba!$C$7</f>
        <v>607.19999999999993</v>
      </c>
      <c r="L34" s="31">
        <f>$F34/spotřeba!$C$7</f>
        <v>734.71199999999999</v>
      </c>
      <c r="M34" s="32">
        <f>$E34/spotřeba!$C$8</f>
        <v>728.64</v>
      </c>
      <c r="N34" s="207">
        <f>$F34/spotřeba!$C$8</f>
        <v>881.65440000000001</v>
      </c>
      <c r="O34" s="30">
        <f>$E34/spotřeba!$C$9</f>
        <v>1035</v>
      </c>
      <c r="P34" s="33">
        <f>$F34/spotřeba!$C$9</f>
        <v>1252.3499999999999</v>
      </c>
    </row>
    <row r="35" spans="1:16" ht="15" customHeight="1" x14ac:dyDescent="0.25">
      <c r="A35" s="1" t="str">
        <f t="shared" si="1"/>
        <v>2243332-4</v>
      </c>
      <c r="B35" s="25">
        <v>224333</v>
      </c>
      <c r="C35" s="34" t="s">
        <v>72</v>
      </c>
      <c r="D35" s="27" t="s">
        <v>26</v>
      </c>
      <c r="E35" s="28">
        <v>910.8</v>
      </c>
      <c r="F35" s="29">
        <f t="shared" si="0"/>
        <v>1102.068</v>
      </c>
      <c r="G35" s="30">
        <f>$E35/spotřeba!$C$5</f>
        <v>413.99999999999994</v>
      </c>
      <c r="H35" s="31">
        <f>$F35/spotřeba!$C$5</f>
        <v>500.93999999999994</v>
      </c>
      <c r="I35" s="32">
        <f>$E35/spotřeba!$C$6</f>
        <v>505.99999999999994</v>
      </c>
      <c r="J35" s="33">
        <f>$F35/spotřeba!$C$6</f>
        <v>612.26</v>
      </c>
      <c r="K35" s="30">
        <f>$E35/spotřeba!$C$7</f>
        <v>607.19999999999993</v>
      </c>
      <c r="L35" s="31">
        <f>$F35/spotřeba!$C$7</f>
        <v>734.71199999999999</v>
      </c>
      <c r="M35" s="32">
        <f>$E35/spotřeba!$C$8</f>
        <v>728.64</v>
      </c>
      <c r="N35" s="33">
        <f>$F35/spotřeba!$C$8</f>
        <v>881.65440000000001</v>
      </c>
      <c r="O35" s="30">
        <f>$E35/spotřeba!$C$9</f>
        <v>1035</v>
      </c>
      <c r="P35" s="33">
        <f>$F35/spotřeba!$C$9</f>
        <v>1252.3499999999999</v>
      </c>
    </row>
    <row r="36" spans="1:16" ht="15" customHeight="1" x14ac:dyDescent="0.25">
      <c r="A36" s="1" t="str">
        <f t="shared" si="1"/>
        <v>2473334-7</v>
      </c>
      <c r="B36" s="25">
        <v>247333</v>
      </c>
      <c r="C36" s="34" t="s">
        <v>72</v>
      </c>
      <c r="D36" s="27" t="s">
        <v>32</v>
      </c>
      <c r="E36" s="28">
        <v>910.8</v>
      </c>
      <c r="F36" s="29">
        <f t="shared" si="0"/>
        <v>1102.068</v>
      </c>
      <c r="G36" s="30" t="s">
        <v>24</v>
      </c>
      <c r="H36" s="31" t="s">
        <v>24</v>
      </c>
      <c r="I36" s="32" t="s">
        <v>24</v>
      </c>
      <c r="J36" s="207" t="s">
        <v>24</v>
      </c>
      <c r="K36" s="30">
        <f>$E36/spotřeba!$C$7</f>
        <v>607.19999999999993</v>
      </c>
      <c r="L36" s="31">
        <f>$F36/spotřeba!$C$7</f>
        <v>734.71199999999999</v>
      </c>
      <c r="M36" s="32">
        <f>$E36/spotřeba!$C$8</f>
        <v>728.64</v>
      </c>
      <c r="N36" s="207">
        <f>$F36/spotřeba!$C$8</f>
        <v>881.65440000000001</v>
      </c>
      <c r="O36" s="30">
        <f>$E36/spotřeba!$C$9</f>
        <v>1035</v>
      </c>
      <c r="P36" s="33">
        <f>$F36/spotřeba!$C$9</f>
        <v>1252.3499999999999</v>
      </c>
    </row>
    <row r="37" spans="1:16" ht="15" customHeight="1" x14ac:dyDescent="0.25">
      <c r="A37" s="1" t="str">
        <f t="shared" si="1"/>
        <v>2242102-4</v>
      </c>
      <c r="B37" s="25">
        <v>224210</v>
      </c>
      <c r="C37" s="34" t="s">
        <v>40</v>
      </c>
      <c r="D37" s="27" t="s">
        <v>26</v>
      </c>
      <c r="E37" s="28">
        <v>838.8</v>
      </c>
      <c r="F37" s="29">
        <f t="shared" ref="F37:F68" si="2">E37*1.21</f>
        <v>1014.9479999999999</v>
      </c>
      <c r="G37" s="30">
        <f>$E37/spotřeba!$C$5</f>
        <v>381.2727272727272</v>
      </c>
      <c r="H37" s="31">
        <f>$F37/spotřeba!$C$5</f>
        <v>461.33999999999992</v>
      </c>
      <c r="I37" s="32">
        <f>$E37/spotřeba!$C$6</f>
        <v>465.99999999999994</v>
      </c>
      <c r="J37" s="33">
        <f>$F37/spotřeba!$C$6</f>
        <v>563.8599999999999</v>
      </c>
      <c r="K37" s="30">
        <f>$E37/spotřeba!$C$7</f>
        <v>559.19999999999993</v>
      </c>
      <c r="L37" s="31">
        <f>$F37/spotřeba!$C$7</f>
        <v>676.63199999999995</v>
      </c>
      <c r="M37" s="32">
        <f>$E37/spotřeba!$C$8</f>
        <v>671.04</v>
      </c>
      <c r="N37" s="207">
        <f>$F37/spotřeba!$C$8</f>
        <v>811.95839999999987</v>
      </c>
      <c r="O37" s="30">
        <f>$E37/spotřeba!$C$9</f>
        <v>953.18181818181813</v>
      </c>
      <c r="P37" s="33">
        <f>$F37/spotřeba!$C$9</f>
        <v>1153.3499999999999</v>
      </c>
    </row>
    <row r="38" spans="1:16" ht="15" customHeight="1" x14ac:dyDescent="0.25">
      <c r="A38" s="1" t="str">
        <f t="shared" si="1"/>
        <v>2472104-7</v>
      </c>
      <c r="B38" s="25">
        <v>247210</v>
      </c>
      <c r="C38" s="34" t="s">
        <v>40</v>
      </c>
      <c r="D38" s="27" t="s">
        <v>32</v>
      </c>
      <c r="E38" s="28">
        <v>838.8</v>
      </c>
      <c r="F38" s="29">
        <f t="shared" si="2"/>
        <v>1014.9479999999999</v>
      </c>
      <c r="G38" s="30" t="s">
        <v>24</v>
      </c>
      <c r="H38" s="31" t="s">
        <v>24</v>
      </c>
      <c r="I38" s="32" t="s">
        <v>24</v>
      </c>
      <c r="J38" s="207" t="s">
        <v>24</v>
      </c>
      <c r="K38" s="30">
        <f>$E38/spotřeba!$C$7</f>
        <v>559.19999999999993</v>
      </c>
      <c r="L38" s="31">
        <f>$F38/spotřeba!$C$7</f>
        <v>676.63199999999995</v>
      </c>
      <c r="M38" s="32">
        <f>$E38/spotřeba!$C$8</f>
        <v>671.04</v>
      </c>
      <c r="N38" s="207">
        <f>$F38/spotřeba!$C$8</f>
        <v>811.95839999999987</v>
      </c>
      <c r="O38" s="30">
        <f>$E38/spotřeba!$C$9</f>
        <v>953.18181818181813</v>
      </c>
      <c r="P38" s="33">
        <f>$F38/spotřeba!$C$9</f>
        <v>1153.3499999999999</v>
      </c>
    </row>
    <row r="39" spans="1:16" ht="15" customHeight="1" x14ac:dyDescent="0.25">
      <c r="A39" s="1" t="str">
        <f t="shared" si="1"/>
        <v>2243502-4</v>
      </c>
      <c r="B39" s="25">
        <v>224350</v>
      </c>
      <c r="C39" s="34" t="s">
        <v>84</v>
      </c>
      <c r="D39" s="27" t="s">
        <v>26</v>
      </c>
      <c r="E39" s="28">
        <v>910.8</v>
      </c>
      <c r="F39" s="29">
        <f t="shared" si="2"/>
        <v>1102.068</v>
      </c>
      <c r="G39" s="30">
        <f>$E39/spotřeba!$C$5</f>
        <v>413.99999999999994</v>
      </c>
      <c r="H39" s="31">
        <f>$F39/spotřeba!$C$5</f>
        <v>500.93999999999994</v>
      </c>
      <c r="I39" s="32">
        <f>$E39/spotřeba!$C$6</f>
        <v>505.99999999999994</v>
      </c>
      <c r="J39" s="207">
        <f>$F39/spotřeba!$C$6</f>
        <v>612.26</v>
      </c>
      <c r="K39" s="30">
        <f>$E39/spotřeba!$C$7</f>
        <v>607.19999999999993</v>
      </c>
      <c r="L39" s="31">
        <f>$F39/spotřeba!$C$7</f>
        <v>734.71199999999999</v>
      </c>
      <c r="M39" s="32">
        <f>$E39/spotřeba!$C$8</f>
        <v>728.64</v>
      </c>
      <c r="N39" s="207">
        <f>$F39/spotřeba!$C$8</f>
        <v>881.65440000000001</v>
      </c>
      <c r="O39" s="30">
        <f>$E39/spotřeba!$C$9</f>
        <v>1035</v>
      </c>
      <c r="P39" s="33">
        <f>$F39/spotřeba!$C$9</f>
        <v>1252.3499999999999</v>
      </c>
    </row>
    <row r="40" spans="1:16" ht="15" customHeight="1" x14ac:dyDescent="0.25">
      <c r="A40" s="1" t="str">
        <f t="shared" si="1"/>
        <v>2473504-7</v>
      </c>
      <c r="B40" s="25">
        <v>247350</v>
      </c>
      <c r="C40" s="34" t="s">
        <v>84</v>
      </c>
      <c r="D40" s="27" t="s">
        <v>32</v>
      </c>
      <c r="E40" s="28">
        <v>910.8</v>
      </c>
      <c r="F40" s="29">
        <f t="shared" si="2"/>
        <v>1102.068</v>
      </c>
      <c r="G40" s="30" t="s">
        <v>24</v>
      </c>
      <c r="H40" s="31" t="s">
        <v>24</v>
      </c>
      <c r="I40" s="32" t="s">
        <v>24</v>
      </c>
      <c r="J40" s="207" t="s">
        <v>24</v>
      </c>
      <c r="K40" s="30">
        <f>$E40/spotřeba!$C$7</f>
        <v>607.19999999999993</v>
      </c>
      <c r="L40" s="31">
        <f>$F40/spotřeba!$C$7</f>
        <v>734.71199999999999</v>
      </c>
      <c r="M40" s="32">
        <f>$E40/spotřeba!$C$8</f>
        <v>728.64</v>
      </c>
      <c r="N40" s="207">
        <f>$F40/spotřeba!$C$8</f>
        <v>881.65440000000001</v>
      </c>
      <c r="O40" s="30">
        <f>$E40/spotřeba!$C$9</f>
        <v>1035</v>
      </c>
      <c r="P40" s="33">
        <f>$F40/spotřeba!$C$9</f>
        <v>1252.3499999999999</v>
      </c>
    </row>
    <row r="41" spans="1:16" ht="15" customHeight="1" x14ac:dyDescent="0.25">
      <c r="A41" s="1" t="str">
        <f t="shared" si="1"/>
        <v>2242012-4</v>
      </c>
      <c r="B41" s="25">
        <v>224201</v>
      </c>
      <c r="C41" s="34" t="s">
        <v>31</v>
      </c>
      <c r="D41" s="27" t="s">
        <v>26</v>
      </c>
      <c r="E41" s="28">
        <v>856.8</v>
      </c>
      <c r="F41" s="29">
        <f t="shared" si="2"/>
        <v>1036.7279999999998</v>
      </c>
      <c r="G41" s="30">
        <f>$E41/spotřeba!$C$5</f>
        <v>389.45454545454538</v>
      </c>
      <c r="H41" s="31">
        <f>$F41/spotřeba!$C$5</f>
        <v>471.2399999999999</v>
      </c>
      <c r="I41" s="32">
        <f>$E41/spotřeba!$C$6</f>
        <v>475.99999999999994</v>
      </c>
      <c r="J41" s="207">
        <f>$F41/spotřeba!$C$6</f>
        <v>575.95999999999992</v>
      </c>
      <c r="K41" s="30">
        <f>$E41/spotřeba!$C$7</f>
        <v>571.19999999999993</v>
      </c>
      <c r="L41" s="31">
        <f>$F41/spotřeba!$C$7</f>
        <v>691.15199999999993</v>
      </c>
      <c r="M41" s="32">
        <f>$E41/spotřeba!$C$8</f>
        <v>685.43999999999994</v>
      </c>
      <c r="N41" s="207">
        <f>$F41/spotřeba!$C$8</f>
        <v>829.38239999999985</v>
      </c>
      <c r="O41" s="30">
        <f>$E41/spotřeba!$C$9</f>
        <v>973.63636363636363</v>
      </c>
      <c r="P41" s="33">
        <f>$F41/spotřeba!$C$9</f>
        <v>1178.0999999999999</v>
      </c>
    </row>
    <row r="42" spans="1:16" ht="15" customHeight="1" x14ac:dyDescent="0.25">
      <c r="A42" s="1" t="str">
        <f t="shared" si="1"/>
        <v>2472014-7</v>
      </c>
      <c r="B42" s="25">
        <v>247201</v>
      </c>
      <c r="C42" s="34" t="s">
        <v>31</v>
      </c>
      <c r="D42" s="27" t="s">
        <v>32</v>
      </c>
      <c r="E42" s="28">
        <v>856.8</v>
      </c>
      <c r="F42" s="29">
        <f t="shared" si="2"/>
        <v>1036.7279999999998</v>
      </c>
      <c r="G42" s="30" t="s">
        <v>24</v>
      </c>
      <c r="H42" s="31" t="s">
        <v>24</v>
      </c>
      <c r="I42" s="32" t="s">
        <v>24</v>
      </c>
      <c r="J42" s="207" t="s">
        <v>24</v>
      </c>
      <c r="K42" s="30">
        <f>$E42/spotřeba!$C$7</f>
        <v>571.19999999999993</v>
      </c>
      <c r="L42" s="31">
        <f>$F42/spotřeba!$C$7</f>
        <v>691.15199999999993</v>
      </c>
      <c r="M42" s="32">
        <f>$E42/spotřeba!$C$8</f>
        <v>685.43999999999994</v>
      </c>
      <c r="N42" s="207">
        <f>$F42/spotřeba!$C$8</f>
        <v>829.38239999999985</v>
      </c>
      <c r="O42" s="30">
        <f>$E42/spotřeba!$C$9</f>
        <v>973.63636363636363</v>
      </c>
      <c r="P42" s="33">
        <f>$F42/spotřeba!$C$9</f>
        <v>1178.0999999999999</v>
      </c>
    </row>
    <row r="43" spans="1:16" ht="15" customHeight="1" x14ac:dyDescent="0.25">
      <c r="A43" s="1" t="str">
        <f t="shared" si="1"/>
        <v>2243242-4</v>
      </c>
      <c r="B43" s="25">
        <v>224324</v>
      </c>
      <c r="C43" s="34" t="s">
        <v>64</v>
      </c>
      <c r="D43" s="27" t="s">
        <v>26</v>
      </c>
      <c r="E43" s="28">
        <v>910.8</v>
      </c>
      <c r="F43" s="29">
        <f t="shared" si="2"/>
        <v>1102.068</v>
      </c>
      <c r="G43" s="30">
        <f>$E43/spotřeba!$C$5</f>
        <v>413.99999999999994</v>
      </c>
      <c r="H43" s="31">
        <f>$F43/spotřeba!$C$5</f>
        <v>500.93999999999994</v>
      </c>
      <c r="I43" s="32">
        <f>$E43/spotřeba!$C$6</f>
        <v>505.99999999999994</v>
      </c>
      <c r="J43" s="207">
        <f>$F43/spotřeba!$C$6</f>
        <v>612.26</v>
      </c>
      <c r="K43" s="30">
        <f>$E43/spotřeba!$C$7</f>
        <v>607.19999999999993</v>
      </c>
      <c r="L43" s="31">
        <f>$F43/spotřeba!$C$7</f>
        <v>734.71199999999999</v>
      </c>
      <c r="M43" s="32">
        <f>$E43/spotřeba!$C$8</f>
        <v>728.64</v>
      </c>
      <c r="N43" s="207">
        <f>$F43/spotřeba!$C$8</f>
        <v>881.65440000000001</v>
      </c>
      <c r="O43" s="30">
        <f>$E43/spotřeba!$C$9</f>
        <v>1035</v>
      </c>
      <c r="P43" s="33">
        <f>$F43/spotřeba!$C$9</f>
        <v>1252.3499999999999</v>
      </c>
    </row>
    <row r="44" spans="1:16" ht="15" customHeight="1" x14ac:dyDescent="0.25">
      <c r="A44" s="1" t="str">
        <f t="shared" si="1"/>
        <v>2473244-7</v>
      </c>
      <c r="B44" s="25">
        <v>247324</v>
      </c>
      <c r="C44" s="34" t="s">
        <v>64</v>
      </c>
      <c r="D44" s="27" t="s">
        <v>32</v>
      </c>
      <c r="E44" s="28">
        <v>910.8</v>
      </c>
      <c r="F44" s="29">
        <f t="shared" si="2"/>
        <v>1102.068</v>
      </c>
      <c r="G44" s="30" t="s">
        <v>24</v>
      </c>
      <c r="H44" s="31" t="s">
        <v>24</v>
      </c>
      <c r="I44" s="32" t="s">
        <v>24</v>
      </c>
      <c r="J44" s="207" t="s">
        <v>24</v>
      </c>
      <c r="K44" s="30">
        <f>$E44/spotřeba!$C$7</f>
        <v>607.19999999999993</v>
      </c>
      <c r="L44" s="31">
        <f>$F44/spotřeba!$C$7</f>
        <v>734.71199999999999</v>
      </c>
      <c r="M44" s="32">
        <f>$E44/spotřeba!$C$8</f>
        <v>728.64</v>
      </c>
      <c r="N44" s="207">
        <f>$F44/spotřeba!$C$8</f>
        <v>881.65440000000001</v>
      </c>
      <c r="O44" s="30">
        <f>$E44/spotřeba!$C$9</f>
        <v>1035</v>
      </c>
      <c r="P44" s="33">
        <f>$F44/spotřeba!$C$9</f>
        <v>1252.3499999999999</v>
      </c>
    </row>
    <row r="45" spans="1:16" ht="15" customHeight="1" x14ac:dyDescent="0.25">
      <c r="A45" s="1" t="str">
        <f t="shared" si="1"/>
        <v>2243312-4</v>
      </c>
      <c r="B45" s="25">
        <v>224331</v>
      </c>
      <c r="C45" s="34" t="s">
        <v>70</v>
      </c>
      <c r="D45" s="27" t="s">
        <v>26</v>
      </c>
      <c r="E45" s="28">
        <v>910.8</v>
      </c>
      <c r="F45" s="29">
        <f t="shared" si="2"/>
        <v>1102.068</v>
      </c>
      <c r="G45" s="30">
        <f>$E45/spotřeba!$C$5</f>
        <v>413.99999999999994</v>
      </c>
      <c r="H45" s="31">
        <f>$F45/spotřeba!$C$5</f>
        <v>500.93999999999994</v>
      </c>
      <c r="I45" s="32">
        <f>$E45/spotřeba!$C$6</f>
        <v>505.99999999999994</v>
      </c>
      <c r="J45" s="207">
        <f>$F45/spotřeba!$C$6</f>
        <v>612.26</v>
      </c>
      <c r="K45" s="30">
        <f>$E45/spotřeba!$C$7</f>
        <v>607.19999999999993</v>
      </c>
      <c r="L45" s="31">
        <f>$F45/spotřeba!$C$7</f>
        <v>734.71199999999999</v>
      </c>
      <c r="M45" s="32">
        <f>$E45/spotřeba!$C$8</f>
        <v>728.64</v>
      </c>
      <c r="N45" s="207">
        <f>$F45/spotřeba!$C$8</f>
        <v>881.65440000000001</v>
      </c>
      <c r="O45" s="30">
        <f>$E45/spotřeba!$C$9</f>
        <v>1035</v>
      </c>
      <c r="P45" s="33">
        <f>$F45/spotřeba!$C$9</f>
        <v>1252.3499999999999</v>
      </c>
    </row>
    <row r="46" spans="1:16" ht="15" customHeight="1" x14ac:dyDescent="0.25">
      <c r="A46" s="1" t="str">
        <f t="shared" si="1"/>
        <v>2473314-7</v>
      </c>
      <c r="B46" s="25">
        <v>247331</v>
      </c>
      <c r="C46" s="34" t="s">
        <v>70</v>
      </c>
      <c r="D46" s="27" t="s">
        <v>32</v>
      </c>
      <c r="E46" s="28">
        <v>910.8</v>
      </c>
      <c r="F46" s="29">
        <f t="shared" si="2"/>
        <v>1102.068</v>
      </c>
      <c r="G46" s="30" t="s">
        <v>24</v>
      </c>
      <c r="H46" s="31" t="s">
        <v>24</v>
      </c>
      <c r="I46" s="32" t="s">
        <v>24</v>
      </c>
      <c r="J46" s="207" t="s">
        <v>24</v>
      </c>
      <c r="K46" s="30">
        <f>$E46/spotřeba!$C$7</f>
        <v>607.19999999999993</v>
      </c>
      <c r="L46" s="31">
        <f>$F46/spotřeba!$C$7</f>
        <v>734.71199999999999</v>
      </c>
      <c r="M46" s="32">
        <f>$E46/spotřeba!$C$8</f>
        <v>728.64</v>
      </c>
      <c r="N46" s="207">
        <f>$F46/spotřeba!$C$8</f>
        <v>881.65440000000001</v>
      </c>
      <c r="O46" s="30">
        <f>$E46/spotřeba!$C$9</f>
        <v>1035</v>
      </c>
      <c r="P46" s="33">
        <f>$F46/spotřeba!$C$9</f>
        <v>1252.3499999999999</v>
      </c>
    </row>
    <row r="47" spans="1:16" ht="15" customHeight="1" x14ac:dyDescent="0.25">
      <c r="A47" s="1" t="str">
        <f t="shared" si="1"/>
        <v>2243102-4</v>
      </c>
      <c r="B47" s="25">
        <v>224310</v>
      </c>
      <c r="C47" s="34" t="s">
        <v>55</v>
      </c>
      <c r="D47" s="27" t="s">
        <v>26</v>
      </c>
      <c r="E47" s="28">
        <v>910.8</v>
      </c>
      <c r="F47" s="29">
        <f t="shared" si="2"/>
        <v>1102.068</v>
      </c>
      <c r="G47" s="30">
        <f>$E47/spotřeba!$C$5</f>
        <v>413.99999999999994</v>
      </c>
      <c r="H47" s="31">
        <f>$F47/spotřeba!$C$5</f>
        <v>500.93999999999994</v>
      </c>
      <c r="I47" s="32">
        <f>$E47/spotřeba!$C$6</f>
        <v>505.99999999999994</v>
      </c>
      <c r="J47" s="207">
        <f>$F47/spotřeba!$C$6</f>
        <v>612.26</v>
      </c>
      <c r="K47" s="30">
        <f>$E47/spotřeba!$C$7</f>
        <v>607.19999999999993</v>
      </c>
      <c r="L47" s="31">
        <f>$F47/spotřeba!$C$7</f>
        <v>734.71199999999999</v>
      </c>
      <c r="M47" s="32">
        <f>$E47/spotřeba!$C$8</f>
        <v>728.64</v>
      </c>
      <c r="N47" s="207">
        <f>$F47/spotřeba!$C$8</f>
        <v>881.65440000000001</v>
      </c>
      <c r="O47" s="30">
        <f>$E47/spotřeba!$C$9</f>
        <v>1035</v>
      </c>
      <c r="P47" s="33">
        <f>$F47/spotřeba!$C$9</f>
        <v>1252.3499999999999</v>
      </c>
    </row>
    <row r="48" spans="1:16" ht="15" customHeight="1" x14ac:dyDescent="0.25">
      <c r="A48" s="1" t="str">
        <f t="shared" si="1"/>
        <v>2473104-7</v>
      </c>
      <c r="B48" s="25">
        <v>247310</v>
      </c>
      <c r="C48" s="34" t="s">
        <v>55</v>
      </c>
      <c r="D48" s="27" t="s">
        <v>32</v>
      </c>
      <c r="E48" s="28">
        <v>910.8</v>
      </c>
      <c r="F48" s="29">
        <f t="shared" si="2"/>
        <v>1102.068</v>
      </c>
      <c r="G48" s="30" t="s">
        <v>24</v>
      </c>
      <c r="H48" s="31" t="s">
        <v>24</v>
      </c>
      <c r="I48" s="32" t="s">
        <v>24</v>
      </c>
      <c r="J48" s="207" t="s">
        <v>24</v>
      </c>
      <c r="K48" s="30">
        <f>$E48/spotřeba!$C$7</f>
        <v>607.19999999999993</v>
      </c>
      <c r="L48" s="31">
        <f>$F48/spotřeba!$C$7</f>
        <v>734.71199999999999</v>
      </c>
      <c r="M48" s="32">
        <f>$E48/spotřeba!$C$8</f>
        <v>728.64</v>
      </c>
      <c r="N48" s="207">
        <f>$F48/spotřeba!$C$8</f>
        <v>881.65440000000001</v>
      </c>
      <c r="O48" s="30">
        <f>$E48/spotřeba!$C$9</f>
        <v>1035</v>
      </c>
      <c r="P48" s="33">
        <f>$F48/spotřeba!$C$9</f>
        <v>1252.3499999999999</v>
      </c>
    </row>
    <row r="49" spans="1:16" ht="15" customHeight="1" x14ac:dyDescent="0.25">
      <c r="A49" s="1" t="str">
        <f t="shared" si="1"/>
        <v>2243422-4</v>
      </c>
      <c r="B49" s="25">
        <v>224342</v>
      </c>
      <c r="C49" s="34" t="s">
        <v>80</v>
      </c>
      <c r="D49" s="27" t="s">
        <v>26</v>
      </c>
      <c r="E49" s="28">
        <v>910.8</v>
      </c>
      <c r="F49" s="29">
        <f t="shared" si="2"/>
        <v>1102.068</v>
      </c>
      <c r="G49" s="30">
        <f>$E49/spotřeba!$C$5</f>
        <v>413.99999999999994</v>
      </c>
      <c r="H49" s="31">
        <f>$F49/spotřeba!$C$5</f>
        <v>500.93999999999994</v>
      </c>
      <c r="I49" s="32">
        <f>$E49/spotřeba!$C$6</f>
        <v>505.99999999999994</v>
      </c>
      <c r="J49" s="207">
        <f>$F49/spotřeba!$C$6</f>
        <v>612.26</v>
      </c>
      <c r="K49" s="30">
        <f>$E49/spotřeba!$C$7</f>
        <v>607.19999999999993</v>
      </c>
      <c r="L49" s="31">
        <f>$F49/spotřeba!$C$7</f>
        <v>734.71199999999999</v>
      </c>
      <c r="M49" s="32">
        <f>$E49/spotřeba!$C$8</f>
        <v>728.64</v>
      </c>
      <c r="N49" s="207">
        <f>$F49/spotřeba!$C$8</f>
        <v>881.65440000000001</v>
      </c>
      <c r="O49" s="30">
        <f>$E49/spotřeba!$C$9</f>
        <v>1035</v>
      </c>
      <c r="P49" s="33">
        <f>$F49/spotřeba!$C$9</f>
        <v>1252.3499999999999</v>
      </c>
    </row>
    <row r="50" spans="1:16" ht="15" customHeight="1" x14ac:dyDescent="0.25">
      <c r="A50" s="1" t="str">
        <f t="shared" si="1"/>
        <v>2473424-7</v>
      </c>
      <c r="B50" s="25">
        <v>247342</v>
      </c>
      <c r="C50" s="34" t="s">
        <v>80</v>
      </c>
      <c r="D50" s="27" t="s">
        <v>32</v>
      </c>
      <c r="E50" s="28">
        <v>910.8</v>
      </c>
      <c r="F50" s="29">
        <f t="shared" si="2"/>
        <v>1102.068</v>
      </c>
      <c r="G50" s="30" t="s">
        <v>24</v>
      </c>
      <c r="H50" s="31" t="s">
        <v>24</v>
      </c>
      <c r="I50" s="32" t="s">
        <v>24</v>
      </c>
      <c r="J50" s="207" t="s">
        <v>24</v>
      </c>
      <c r="K50" s="30">
        <f>$E50/spotřeba!$C$7</f>
        <v>607.19999999999993</v>
      </c>
      <c r="L50" s="31">
        <f>$F50/spotřeba!$C$7</f>
        <v>734.71199999999999</v>
      </c>
      <c r="M50" s="32">
        <f>$E50/spotřeba!$C$8</f>
        <v>728.64</v>
      </c>
      <c r="N50" s="207">
        <f>$F50/spotřeba!$C$8</f>
        <v>881.65440000000001</v>
      </c>
      <c r="O50" s="30">
        <f>$E50/spotřeba!$C$9</f>
        <v>1035</v>
      </c>
      <c r="P50" s="33">
        <f>$F50/spotřeba!$C$9</f>
        <v>1252.3499999999999</v>
      </c>
    </row>
    <row r="51" spans="1:16" ht="15" customHeight="1" x14ac:dyDescent="0.25">
      <c r="A51" s="1" t="str">
        <f t="shared" si="1"/>
        <v>2473222-4</v>
      </c>
      <c r="B51" s="25">
        <v>247322</v>
      </c>
      <c r="C51" s="34" t="s">
        <v>62</v>
      </c>
      <c r="D51" s="27" t="s">
        <v>26</v>
      </c>
      <c r="E51" s="28">
        <v>910.8</v>
      </c>
      <c r="F51" s="29">
        <f t="shared" si="2"/>
        <v>1102.068</v>
      </c>
      <c r="G51" s="30">
        <f>$E51/spotřeba!$C$5</f>
        <v>413.99999999999994</v>
      </c>
      <c r="H51" s="31">
        <f>$F51/spotřeba!$C$5</f>
        <v>500.93999999999994</v>
      </c>
      <c r="I51" s="32">
        <f>$E51/spotřeba!$C$6</f>
        <v>505.99999999999994</v>
      </c>
      <c r="J51" s="207">
        <f>$F51/spotřeba!$C$6</f>
        <v>612.26</v>
      </c>
      <c r="K51" s="30">
        <f>$E51/spotřeba!$C$7</f>
        <v>607.19999999999993</v>
      </c>
      <c r="L51" s="31">
        <f>$F51/spotřeba!$C$7</f>
        <v>734.71199999999999</v>
      </c>
      <c r="M51" s="32">
        <f>$E51/spotřeba!$C$8</f>
        <v>728.64</v>
      </c>
      <c r="N51" s="207">
        <f>$F51/spotřeba!$C$8</f>
        <v>881.65440000000001</v>
      </c>
      <c r="O51" s="30">
        <f>$E51/spotřeba!$C$9</f>
        <v>1035</v>
      </c>
      <c r="P51" s="33">
        <f>$F51/spotřeba!$C$9</f>
        <v>1252.3499999999999</v>
      </c>
    </row>
    <row r="52" spans="1:16" ht="15" customHeight="1" x14ac:dyDescent="0.25">
      <c r="A52" s="1" t="str">
        <f t="shared" si="1"/>
        <v>2473224-7</v>
      </c>
      <c r="B52" s="25">
        <v>247322</v>
      </c>
      <c r="C52" s="34" t="s">
        <v>62</v>
      </c>
      <c r="D52" s="27" t="s">
        <v>32</v>
      </c>
      <c r="E52" s="28">
        <v>910.8</v>
      </c>
      <c r="F52" s="29">
        <f t="shared" si="2"/>
        <v>1102.068</v>
      </c>
      <c r="G52" s="30" t="s">
        <v>24</v>
      </c>
      <c r="H52" s="31" t="s">
        <v>24</v>
      </c>
      <c r="I52" s="32" t="s">
        <v>24</v>
      </c>
      <c r="J52" s="33" t="s">
        <v>24</v>
      </c>
      <c r="K52" s="30">
        <f>$E52/spotřeba!$C$7</f>
        <v>607.19999999999993</v>
      </c>
      <c r="L52" s="31">
        <f>$F52/spotřeba!$C$7</f>
        <v>734.71199999999999</v>
      </c>
      <c r="M52" s="32">
        <f>$E52/spotřeba!$C$8</f>
        <v>728.64</v>
      </c>
      <c r="N52" s="33">
        <f>$F52/spotřeba!$C$8</f>
        <v>881.65440000000001</v>
      </c>
      <c r="O52" s="30">
        <f>$E52/spotřeba!$C$9</f>
        <v>1035</v>
      </c>
      <c r="P52" s="33">
        <f>$F52/spotřeba!$C$9</f>
        <v>1252.3499999999999</v>
      </c>
    </row>
    <row r="53" spans="1:16" ht="15" customHeight="1" x14ac:dyDescent="0.25">
      <c r="A53" s="1" t="str">
        <f t="shared" si="1"/>
        <v>2243042-4</v>
      </c>
      <c r="B53" s="25">
        <v>224304</v>
      </c>
      <c r="C53" s="34" t="s">
        <v>49</v>
      </c>
      <c r="D53" s="27" t="s">
        <v>26</v>
      </c>
      <c r="E53" s="28">
        <v>910.8</v>
      </c>
      <c r="F53" s="29">
        <f t="shared" si="2"/>
        <v>1102.068</v>
      </c>
      <c r="G53" s="30">
        <f>$E53/spotřeba!$C$5</f>
        <v>413.99999999999994</v>
      </c>
      <c r="H53" s="31">
        <f>$F53/spotřeba!$C$5</f>
        <v>500.93999999999994</v>
      </c>
      <c r="I53" s="32">
        <f>$E53/spotřeba!$C$6</f>
        <v>505.99999999999994</v>
      </c>
      <c r="J53" s="33">
        <f>$F53/spotřeba!$C$6</f>
        <v>612.26</v>
      </c>
      <c r="K53" s="30">
        <f>$E53/spotřeba!$C$7</f>
        <v>607.19999999999993</v>
      </c>
      <c r="L53" s="31">
        <f>$F53/spotřeba!$C$7</f>
        <v>734.71199999999999</v>
      </c>
      <c r="M53" s="32">
        <f>$E53/spotřeba!$C$8</f>
        <v>728.64</v>
      </c>
      <c r="N53" s="207">
        <f>$F53/spotřeba!$C$8</f>
        <v>881.65440000000001</v>
      </c>
      <c r="O53" s="30">
        <f>$E53/spotřeba!$C$9</f>
        <v>1035</v>
      </c>
      <c r="P53" s="33">
        <f>$F53/spotřeba!$C$9</f>
        <v>1252.3499999999999</v>
      </c>
    </row>
    <row r="54" spans="1:16" ht="15" customHeight="1" x14ac:dyDescent="0.25">
      <c r="A54" s="1" t="str">
        <f t="shared" si="1"/>
        <v>2473044-7</v>
      </c>
      <c r="B54" s="25">
        <v>247304</v>
      </c>
      <c r="C54" s="34" t="s">
        <v>49</v>
      </c>
      <c r="D54" s="27" t="s">
        <v>32</v>
      </c>
      <c r="E54" s="28">
        <v>910.8</v>
      </c>
      <c r="F54" s="29">
        <f t="shared" si="2"/>
        <v>1102.068</v>
      </c>
      <c r="G54" s="30" t="s">
        <v>24</v>
      </c>
      <c r="H54" s="31" t="s">
        <v>24</v>
      </c>
      <c r="I54" s="32" t="s">
        <v>24</v>
      </c>
      <c r="J54" s="207" t="s">
        <v>24</v>
      </c>
      <c r="K54" s="30">
        <f>$E54/spotřeba!$C$7</f>
        <v>607.19999999999993</v>
      </c>
      <c r="L54" s="31">
        <f>$F54/spotřeba!$C$7</f>
        <v>734.71199999999999</v>
      </c>
      <c r="M54" s="32">
        <f>$E54/spotřeba!$C$8</f>
        <v>728.64</v>
      </c>
      <c r="N54" s="207">
        <f>$F54/spotřeba!$C$8</f>
        <v>881.65440000000001</v>
      </c>
      <c r="O54" s="30">
        <f>$E54/spotřeba!$C$9</f>
        <v>1035</v>
      </c>
      <c r="P54" s="33">
        <f>$F54/spotřeba!$C$9</f>
        <v>1252.3499999999999</v>
      </c>
    </row>
    <row r="55" spans="1:16" ht="15" customHeight="1" x14ac:dyDescent="0.25">
      <c r="A55" s="1" t="str">
        <f t="shared" si="1"/>
        <v>2243252-4</v>
      </c>
      <c r="B55" s="25">
        <v>224325</v>
      </c>
      <c r="C55" s="34" t="s">
        <v>65</v>
      </c>
      <c r="D55" s="27" t="s">
        <v>26</v>
      </c>
      <c r="E55" s="28">
        <v>910.8</v>
      </c>
      <c r="F55" s="29">
        <f t="shared" si="2"/>
        <v>1102.068</v>
      </c>
      <c r="G55" s="30">
        <f>$E55/spotřeba!$C$5</f>
        <v>413.99999999999994</v>
      </c>
      <c r="H55" s="31">
        <f>$F55/spotřeba!$C$5</f>
        <v>500.93999999999994</v>
      </c>
      <c r="I55" s="32">
        <f>$E55/spotřeba!$C$6</f>
        <v>505.99999999999994</v>
      </c>
      <c r="J55" s="207">
        <f>$F55/spotřeba!$C$6</f>
        <v>612.26</v>
      </c>
      <c r="K55" s="30">
        <f>$E55/spotřeba!$C$7</f>
        <v>607.19999999999993</v>
      </c>
      <c r="L55" s="31">
        <f>$F55/spotřeba!$C$7</f>
        <v>734.71199999999999</v>
      </c>
      <c r="M55" s="32">
        <f>$E55/spotřeba!$C$8</f>
        <v>728.64</v>
      </c>
      <c r="N55" s="207">
        <f>$F55/spotřeba!$C$8</f>
        <v>881.65440000000001</v>
      </c>
      <c r="O55" s="30">
        <f>$E55/spotřeba!$C$9</f>
        <v>1035</v>
      </c>
      <c r="P55" s="33">
        <f>$F55/spotřeba!$C$9</f>
        <v>1252.3499999999999</v>
      </c>
    </row>
    <row r="56" spans="1:16" ht="15" customHeight="1" x14ac:dyDescent="0.25">
      <c r="A56" s="1" t="str">
        <f t="shared" ref="A56:A105" si="3">B56&amp;D56</f>
        <v>2473254-7</v>
      </c>
      <c r="B56" s="25">
        <v>247325</v>
      </c>
      <c r="C56" s="34" t="s">
        <v>65</v>
      </c>
      <c r="D56" s="27" t="s">
        <v>32</v>
      </c>
      <c r="E56" s="28">
        <v>910.8</v>
      </c>
      <c r="F56" s="29">
        <f t="shared" si="2"/>
        <v>1102.068</v>
      </c>
      <c r="G56" s="30" t="s">
        <v>24</v>
      </c>
      <c r="H56" s="31" t="s">
        <v>24</v>
      </c>
      <c r="I56" s="32" t="s">
        <v>24</v>
      </c>
      <c r="J56" s="207" t="s">
        <v>24</v>
      </c>
      <c r="K56" s="30">
        <f>$E56/spotřeba!$C$7</f>
        <v>607.19999999999993</v>
      </c>
      <c r="L56" s="31">
        <f>$F56/spotřeba!$C$7</f>
        <v>734.71199999999999</v>
      </c>
      <c r="M56" s="32">
        <f>$E56/spotřeba!$C$8</f>
        <v>728.64</v>
      </c>
      <c r="N56" s="207">
        <f>$F56/spotřeba!$C$8</f>
        <v>881.65440000000001</v>
      </c>
      <c r="O56" s="30">
        <f>$E56/spotřeba!$C$9</f>
        <v>1035</v>
      </c>
      <c r="P56" s="33">
        <f>$F56/spotřeba!$C$9</f>
        <v>1252.3499999999999</v>
      </c>
    </row>
    <row r="57" spans="1:16" ht="15" customHeight="1" x14ac:dyDescent="0.25">
      <c r="A57" s="1" t="str">
        <f t="shared" si="3"/>
        <v>2243082-4</v>
      </c>
      <c r="B57" s="25">
        <v>224308</v>
      </c>
      <c r="C57" s="34" t="s">
        <v>53</v>
      </c>
      <c r="D57" s="27" t="s">
        <v>26</v>
      </c>
      <c r="E57" s="28">
        <v>910.8</v>
      </c>
      <c r="F57" s="29">
        <f t="shared" si="2"/>
        <v>1102.068</v>
      </c>
      <c r="G57" s="30">
        <f>$E57/spotřeba!$C$5</f>
        <v>413.99999999999994</v>
      </c>
      <c r="H57" s="31">
        <f>$F57/spotřeba!$C$5</f>
        <v>500.93999999999994</v>
      </c>
      <c r="I57" s="32">
        <f>$E57/spotřeba!$C$6</f>
        <v>505.99999999999994</v>
      </c>
      <c r="J57" s="207">
        <f>$F57/spotřeba!$C$6</f>
        <v>612.26</v>
      </c>
      <c r="K57" s="30">
        <f>$E57/spotřeba!$C$7</f>
        <v>607.19999999999993</v>
      </c>
      <c r="L57" s="31">
        <f>$F57/spotřeba!$C$7</f>
        <v>734.71199999999999</v>
      </c>
      <c r="M57" s="32">
        <f>$E57/spotřeba!$C$8</f>
        <v>728.64</v>
      </c>
      <c r="N57" s="207">
        <f>$F57/spotřeba!$C$8</f>
        <v>881.65440000000001</v>
      </c>
      <c r="O57" s="30">
        <f>$E57/spotřeba!$C$9</f>
        <v>1035</v>
      </c>
      <c r="P57" s="33">
        <f>$F57/spotřeba!$C$9</f>
        <v>1252.3499999999999</v>
      </c>
    </row>
    <row r="58" spans="1:16" ht="15" customHeight="1" x14ac:dyDescent="0.25">
      <c r="A58" s="1" t="str">
        <f t="shared" si="3"/>
        <v>2473084-7</v>
      </c>
      <c r="B58" s="25">
        <v>247308</v>
      </c>
      <c r="C58" s="34" t="s">
        <v>53</v>
      </c>
      <c r="D58" s="27" t="s">
        <v>32</v>
      </c>
      <c r="E58" s="28">
        <v>910.8</v>
      </c>
      <c r="F58" s="29">
        <f t="shared" si="2"/>
        <v>1102.068</v>
      </c>
      <c r="G58" s="30" t="s">
        <v>24</v>
      </c>
      <c r="H58" s="31" t="s">
        <v>24</v>
      </c>
      <c r="I58" s="32" t="s">
        <v>24</v>
      </c>
      <c r="J58" s="207" t="s">
        <v>24</v>
      </c>
      <c r="K58" s="30">
        <f>$E58/spotřeba!$C$7</f>
        <v>607.19999999999993</v>
      </c>
      <c r="L58" s="31">
        <f>$F58/spotřeba!$C$7</f>
        <v>734.71199999999999</v>
      </c>
      <c r="M58" s="32">
        <f>$E58/spotřeba!$C$8</f>
        <v>728.64</v>
      </c>
      <c r="N58" s="207">
        <f>$F58/spotřeba!$C$8</f>
        <v>881.65440000000001</v>
      </c>
      <c r="O58" s="30">
        <f>$E58/spotřeba!$C$9</f>
        <v>1035</v>
      </c>
      <c r="P58" s="33">
        <f>$F58/spotřeba!$C$9</f>
        <v>1252.3499999999999</v>
      </c>
    </row>
    <row r="59" spans="1:16" ht="15" customHeight="1" x14ac:dyDescent="0.25">
      <c r="A59" s="1" t="str">
        <f t="shared" si="3"/>
        <v>2243382-4</v>
      </c>
      <c r="B59" s="25">
        <v>224338</v>
      </c>
      <c r="C59" s="34" t="s">
        <v>76</v>
      </c>
      <c r="D59" s="27" t="s">
        <v>26</v>
      </c>
      <c r="E59" s="28">
        <v>910.8</v>
      </c>
      <c r="F59" s="29">
        <f t="shared" si="2"/>
        <v>1102.068</v>
      </c>
      <c r="G59" s="30">
        <f>$E59/spotřeba!$C$5</f>
        <v>413.99999999999994</v>
      </c>
      <c r="H59" s="31">
        <f>$F59/spotřeba!$C$5</f>
        <v>500.93999999999994</v>
      </c>
      <c r="I59" s="32">
        <f>$E59/spotřeba!$C$6</f>
        <v>505.99999999999994</v>
      </c>
      <c r="J59" s="207">
        <f>$F59/spotřeba!$C$6</f>
        <v>612.26</v>
      </c>
      <c r="K59" s="30">
        <f>$E59/spotřeba!$C$7</f>
        <v>607.19999999999993</v>
      </c>
      <c r="L59" s="31">
        <f>$F59/spotřeba!$C$7</f>
        <v>734.71199999999999</v>
      </c>
      <c r="M59" s="32">
        <f>$E59/spotřeba!$C$8</f>
        <v>728.64</v>
      </c>
      <c r="N59" s="207">
        <f>$F59/spotřeba!$C$8</f>
        <v>881.65440000000001</v>
      </c>
      <c r="O59" s="30">
        <f>$E59/spotřeba!$C$9</f>
        <v>1035</v>
      </c>
      <c r="P59" s="33">
        <f>$F59/spotřeba!$C$9</f>
        <v>1252.3499999999999</v>
      </c>
    </row>
    <row r="60" spans="1:16" ht="15" customHeight="1" x14ac:dyDescent="0.25">
      <c r="A60" s="1" t="str">
        <f t="shared" si="3"/>
        <v>2473384-7</v>
      </c>
      <c r="B60" s="25">
        <v>247338</v>
      </c>
      <c r="C60" s="34" t="s">
        <v>76</v>
      </c>
      <c r="D60" s="27" t="s">
        <v>32</v>
      </c>
      <c r="E60" s="28">
        <v>910.8</v>
      </c>
      <c r="F60" s="29">
        <f t="shared" si="2"/>
        <v>1102.068</v>
      </c>
      <c r="G60" s="30" t="s">
        <v>24</v>
      </c>
      <c r="H60" s="31" t="s">
        <v>24</v>
      </c>
      <c r="I60" s="32" t="s">
        <v>24</v>
      </c>
      <c r="J60" s="207" t="s">
        <v>24</v>
      </c>
      <c r="K60" s="30">
        <f>$E60/spotřeba!$C$7</f>
        <v>607.19999999999993</v>
      </c>
      <c r="L60" s="31">
        <f>$F60/spotřeba!$C$7</f>
        <v>734.71199999999999</v>
      </c>
      <c r="M60" s="32">
        <f>$E60/spotřeba!$C$8</f>
        <v>728.64</v>
      </c>
      <c r="N60" s="207">
        <f>$F60/spotřeba!$C$8</f>
        <v>881.65440000000001</v>
      </c>
      <c r="O60" s="30">
        <f>$E60/spotřeba!$C$9</f>
        <v>1035</v>
      </c>
      <c r="P60" s="33">
        <f>$F60/spotřeba!$C$9</f>
        <v>1252.3499999999999</v>
      </c>
    </row>
    <row r="61" spans="1:16" ht="15" customHeight="1" x14ac:dyDescent="0.25">
      <c r="A61" s="1" t="str">
        <f t="shared" si="3"/>
        <v>2243592-4</v>
      </c>
      <c r="B61" s="25">
        <v>224359</v>
      </c>
      <c r="C61" s="34" t="s">
        <v>92</v>
      </c>
      <c r="D61" s="27" t="s">
        <v>26</v>
      </c>
      <c r="E61" s="28">
        <v>910.8</v>
      </c>
      <c r="F61" s="29">
        <f t="shared" si="2"/>
        <v>1102.068</v>
      </c>
      <c r="G61" s="30">
        <f>$E61/spotřeba!$C$5</f>
        <v>413.99999999999994</v>
      </c>
      <c r="H61" s="31">
        <f>$F61/spotřeba!$C$5</f>
        <v>500.93999999999994</v>
      </c>
      <c r="I61" s="32">
        <f>$E61/spotřeba!$C$6</f>
        <v>505.99999999999994</v>
      </c>
      <c r="J61" s="207">
        <f>$F61/spotřeba!$C$6</f>
        <v>612.26</v>
      </c>
      <c r="K61" s="30">
        <f>$E61/spotřeba!$C$7</f>
        <v>607.19999999999993</v>
      </c>
      <c r="L61" s="31">
        <f>$F61/spotřeba!$C$7</f>
        <v>734.71199999999999</v>
      </c>
      <c r="M61" s="32">
        <f>$E61/spotřeba!$C$8</f>
        <v>728.64</v>
      </c>
      <c r="N61" s="207">
        <f>$F61/spotřeba!$C$8</f>
        <v>881.65440000000001</v>
      </c>
      <c r="O61" s="30">
        <f>$E61/spotřeba!$C$9</f>
        <v>1035</v>
      </c>
      <c r="P61" s="33">
        <f>$F61/spotřeba!$C$9</f>
        <v>1252.3499999999999</v>
      </c>
    </row>
    <row r="62" spans="1:16" ht="15" customHeight="1" x14ac:dyDescent="0.25">
      <c r="A62" s="1" t="str">
        <f t="shared" si="3"/>
        <v>2473594-7</v>
      </c>
      <c r="B62" s="25">
        <v>247359</v>
      </c>
      <c r="C62" s="26" t="s">
        <v>92</v>
      </c>
      <c r="D62" s="27" t="s">
        <v>32</v>
      </c>
      <c r="E62" s="36">
        <v>910.8</v>
      </c>
      <c r="F62" s="37">
        <f t="shared" si="2"/>
        <v>1102.068</v>
      </c>
      <c r="G62" s="32" t="s">
        <v>24</v>
      </c>
      <c r="H62" s="207" t="s">
        <v>24</v>
      </c>
      <c r="I62" s="30" t="s">
        <v>24</v>
      </c>
      <c r="J62" s="31" t="s">
        <v>24</v>
      </c>
      <c r="K62" s="32">
        <f>$E62/spotřeba!$C$7</f>
        <v>607.19999999999993</v>
      </c>
      <c r="L62" s="207">
        <f>$F62/spotřeba!$C$7</f>
        <v>734.71199999999999</v>
      </c>
      <c r="M62" s="30">
        <f>$E62/spotřeba!$C$8</f>
        <v>728.64</v>
      </c>
      <c r="N62" s="31">
        <f>$F62/spotřeba!$C$8</f>
        <v>881.65440000000001</v>
      </c>
      <c r="O62" s="32">
        <f>$E62/spotřeba!$C$9</f>
        <v>1035</v>
      </c>
      <c r="P62" s="33">
        <f>$F62/spotřeba!$C$9</f>
        <v>1252.3499999999999</v>
      </c>
    </row>
    <row r="63" spans="1:16" ht="15" customHeight="1" x14ac:dyDescent="0.25">
      <c r="A63" s="1" t="str">
        <f t="shared" si="3"/>
        <v>2481014-8</v>
      </c>
      <c r="B63" s="25">
        <v>248101</v>
      </c>
      <c r="C63" s="26" t="s">
        <v>22</v>
      </c>
      <c r="D63" s="27" t="s">
        <v>23</v>
      </c>
      <c r="E63" s="36">
        <v>566.4</v>
      </c>
      <c r="F63" s="37">
        <f t="shared" si="2"/>
        <v>685.34399999999994</v>
      </c>
      <c r="G63" s="32" t="s">
        <v>24</v>
      </c>
      <c r="H63" s="207" t="s">
        <v>24</v>
      </c>
      <c r="I63" s="30" t="s">
        <v>24</v>
      </c>
      <c r="J63" s="31" t="s">
        <v>24</v>
      </c>
      <c r="K63" s="32">
        <f>$E63/spotřeba!$C$7</f>
        <v>377.59999999999997</v>
      </c>
      <c r="L63" s="207">
        <f>$F63/spotřeba!$C$7</f>
        <v>456.89599999999996</v>
      </c>
      <c r="M63" s="30">
        <f>$E63/spotřeba!$C$8</f>
        <v>453.12</v>
      </c>
      <c r="N63" s="31">
        <f>$F63/spotřeba!$C$8</f>
        <v>548.27519999999993</v>
      </c>
      <c r="O63" s="32">
        <f>$E63/spotřeba!$C$9</f>
        <v>643.63636363636363</v>
      </c>
      <c r="P63" s="207">
        <f>$F63/spotřeba!$C$9</f>
        <v>778.8</v>
      </c>
    </row>
    <row r="64" spans="1:16" ht="15" customHeight="1" x14ac:dyDescent="0.25">
      <c r="A64" s="1" t="str">
        <f t="shared" si="3"/>
        <v>2243032-4</v>
      </c>
      <c r="B64" s="25">
        <v>224303</v>
      </c>
      <c r="C64" s="34" t="s">
        <v>48</v>
      </c>
      <c r="D64" s="27" t="s">
        <v>26</v>
      </c>
      <c r="E64" s="36">
        <v>910.8</v>
      </c>
      <c r="F64" s="29">
        <f t="shared" si="2"/>
        <v>1102.068</v>
      </c>
      <c r="G64" s="30">
        <f>$E64/spotřeba!$C$5</f>
        <v>413.99999999999994</v>
      </c>
      <c r="H64" s="31">
        <f>$F64/spotřeba!$C$5</f>
        <v>500.93999999999994</v>
      </c>
      <c r="I64" s="32">
        <f>$E64/spotřeba!$C$6</f>
        <v>505.99999999999994</v>
      </c>
      <c r="J64" s="207">
        <f>$F64/spotřeba!$C$6</f>
        <v>612.26</v>
      </c>
      <c r="K64" s="30">
        <f>$E64/spotřeba!$C$7</f>
        <v>607.19999999999993</v>
      </c>
      <c r="L64" s="31">
        <f>$F64/spotřeba!$C$7</f>
        <v>734.71199999999999</v>
      </c>
      <c r="M64" s="32">
        <f>$E64/spotřeba!$C$8</f>
        <v>728.64</v>
      </c>
      <c r="N64" s="207">
        <f>$F64/spotřeba!$C$8</f>
        <v>881.65440000000001</v>
      </c>
      <c r="O64" s="30">
        <f>$E64/spotřeba!$C$9</f>
        <v>1035</v>
      </c>
      <c r="P64" s="33">
        <f>$F64/spotřeba!$C$9</f>
        <v>1252.3499999999999</v>
      </c>
    </row>
    <row r="65" spans="1:16" ht="15" customHeight="1" x14ac:dyDescent="0.25">
      <c r="A65" s="1" t="str">
        <f t="shared" si="3"/>
        <v>2473034-7</v>
      </c>
      <c r="B65" s="25">
        <v>247303</v>
      </c>
      <c r="C65" s="34" t="s">
        <v>48</v>
      </c>
      <c r="D65" s="27" t="s">
        <v>32</v>
      </c>
      <c r="E65" s="36">
        <v>910.8</v>
      </c>
      <c r="F65" s="29">
        <f t="shared" si="2"/>
        <v>1102.068</v>
      </c>
      <c r="G65" s="30" t="s">
        <v>24</v>
      </c>
      <c r="H65" s="31" t="s">
        <v>24</v>
      </c>
      <c r="I65" s="32" t="s">
        <v>24</v>
      </c>
      <c r="J65" s="207" t="s">
        <v>24</v>
      </c>
      <c r="K65" s="30">
        <f>$E65/spotřeba!$C$7</f>
        <v>607.19999999999993</v>
      </c>
      <c r="L65" s="31">
        <f>$F65/spotřeba!$C$7</f>
        <v>734.71199999999999</v>
      </c>
      <c r="M65" s="32">
        <f>$E65/spotřeba!$C$8</f>
        <v>728.64</v>
      </c>
      <c r="N65" s="207">
        <f>$F65/spotřeba!$C$8</f>
        <v>881.65440000000001</v>
      </c>
      <c r="O65" s="30">
        <f>$E65/spotřeba!$C$9</f>
        <v>1035</v>
      </c>
      <c r="P65" s="33">
        <f>$F65/spotřeba!$C$9</f>
        <v>1252.3499999999999</v>
      </c>
    </row>
    <row r="66" spans="1:16" ht="15" customHeight="1" x14ac:dyDescent="0.25">
      <c r="A66" s="1" t="str">
        <f t="shared" si="3"/>
        <v>2243012-4</v>
      </c>
      <c r="B66" s="25">
        <v>224301</v>
      </c>
      <c r="C66" s="34" t="s">
        <v>47</v>
      </c>
      <c r="D66" s="27" t="s">
        <v>26</v>
      </c>
      <c r="E66" s="36">
        <v>910.8</v>
      </c>
      <c r="F66" s="29">
        <f t="shared" si="2"/>
        <v>1102.068</v>
      </c>
      <c r="G66" s="30">
        <f>$E66/spotřeba!$C$5</f>
        <v>413.99999999999994</v>
      </c>
      <c r="H66" s="31">
        <f>$F66/spotřeba!$C$5</f>
        <v>500.93999999999994</v>
      </c>
      <c r="I66" s="32">
        <f>$E66/spotřeba!$C$6</f>
        <v>505.99999999999994</v>
      </c>
      <c r="J66" s="207">
        <f>$F66/spotřeba!$C$6</f>
        <v>612.26</v>
      </c>
      <c r="K66" s="30">
        <f>$E66/spotřeba!$C$7</f>
        <v>607.19999999999993</v>
      </c>
      <c r="L66" s="31">
        <f>$F66/spotřeba!$C$7</f>
        <v>734.71199999999999</v>
      </c>
      <c r="M66" s="32">
        <f>$E66/spotřeba!$C$8</f>
        <v>728.64</v>
      </c>
      <c r="N66" s="207">
        <f>$F66/spotřeba!$C$8</f>
        <v>881.65440000000001</v>
      </c>
      <c r="O66" s="30">
        <f>$E66/spotřeba!$C$9</f>
        <v>1035</v>
      </c>
      <c r="P66" s="33">
        <f>$F66/spotřeba!$C$9</f>
        <v>1252.3499999999999</v>
      </c>
    </row>
    <row r="67" spans="1:16" ht="15" customHeight="1" x14ac:dyDescent="0.25">
      <c r="A67" s="1" t="str">
        <f t="shared" si="3"/>
        <v>2473014-7</v>
      </c>
      <c r="B67" s="25">
        <v>247301</v>
      </c>
      <c r="C67" s="34" t="s">
        <v>47</v>
      </c>
      <c r="D67" s="27" t="s">
        <v>32</v>
      </c>
      <c r="E67" s="36">
        <v>910.8</v>
      </c>
      <c r="F67" s="29">
        <f t="shared" si="2"/>
        <v>1102.068</v>
      </c>
      <c r="G67" s="30" t="s">
        <v>24</v>
      </c>
      <c r="H67" s="31" t="s">
        <v>24</v>
      </c>
      <c r="I67" s="32" t="s">
        <v>24</v>
      </c>
      <c r="J67" s="207" t="s">
        <v>24</v>
      </c>
      <c r="K67" s="30">
        <f>$E67/spotřeba!$C$7</f>
        <v>607.19999999999993</v>
      </c>
      <c r="L67" s="31">
        <f>$F67/spotřeba!$C$7</f>
        <v>734.71199999999999</v>
      </c>
      <c r="M67" s="32">
        <f>$E67/spotřeba!$C$8</f>
        <v>728.64</v>
      </c>
      <c r="N67" s="207">
        <f>$F67/spotřeba!$C$8</f>
        <v>881.65440000000001</v>
      </c>
      <c r="O67" s="30">
        <f>$E67/spotřeba!$C$9</f>
        <v>1035</v>
      </c>
      <c r="P67" s="33">
        <f>$F67/spotřeba!$C$9</f>
        <v>1252.3499999999999</v>
      </c>
    </row>
    <row r="68" spans="1:16" ht="15" customHeight="1" x14ac:dyDescent="0.25">
      <c r="A68" s="1" t="str">
        <f t="shared" si="3"/>
        <v>2243402-4</v>
      </c>
      <c r="B68" s="25">
        <v>224340</v>
      </c>
      <c r="C68" s="34" t="s">
        <v>78</v>
      </c>
      <c r="D68" s="27" t="s">
        <v>26</v>
      </c>
      <c r="E68" s="36">
        <v>910.8</v>
      </c>
      <c r="F68" s="29">
        <f t="shared" si="2"/>
        <v>1102.068</v>
      </c>
      <c r="G68" s="30">
        <f>$E68/spotřeba!$C$5</f>
        <v>413.99999999999994</v>
      </c>
      <c r="H68" s="31">
        <f>$F68/spotřeba!$C$5</f>
        <v>500.93999999999994</v>
      </c>
      <c r="I68" s="32">
        <f>$E68/spotřeba!$C$6</f>
        <v>505.99999999999994</v>
      </c>
      <c r="J68" s="207">
        <f>$F68/spotřeba!$C$6</f>
        <v>612.26</v>
      </c>
      <c r="K68" s="30">
        <f>$E68/spotřeba!$C$7</f>
        <v>607.19999999999993</v>
      </c>
      <c r="L68" s="31">
        <f>$F68/spotřeba!$C$7</f>
        <v>734.71199999999999</v>
      </c>
      <c r="M68" s="32">
        <f>$E68/spotřeba!$C$8</f>
        <v>728.64</v>
      </c>
      <c r="N68" s="207">
        <f>$F68/spotřeba!$C$8</f>
        <v>881.65440000000001</v>
      </c>
      <c r="O68" s="30">
        <f>$E68/spotřeba!$C$9</f>
        <v>1035</v>
      </c>
      <c r="P68" s="33">
        <f>$F68/spotřeba!$C$9</f>
        <v>1252.3499999999999</v>
      </c>
    </row>
    <row r="69" spans="1:16" ht="15" customHeight="1" x14ac:dyDescent="0.25">
      <c r="A69" s="1" t="str">
        <f t="shared" si="3"/>
        <v>2473404-7</v>
      </c>
      <c r="B69" s="25">
        <v>247340</v>
      </c>
      <c r="C69" s="34" t="s">
        <v>78</v>
      </c>
      <c r="D69" s="27" t="s">
        <v>32</v>
      </c>
      <c r="E69" s="36">
        <v>910.8</v>
      </c>
      <c r="F69" s="29">
        <f t="shared" ref="F69:F100" si="4">E69*1.21</f>
        <v>1102.068</v>
      </c>
      <c r="G69" s="30" t="s">
        <v>24</v>
      </c>
      <c r="H69" s="31" t="s">
        <v>24</v>
      </c>
      <c r="I69" s="32" t="s">
        <v>24</v>
      </c>
      <c r="J69" s="207" t="s">
        <v>24</v>
      </c>
      <c r="K69" s="30">
        <f>$E69/spotřeba!$C$7</f>
        <v>607.19999999999993</v>
      </c>
      <c r="L69" s="31">
        <f>$F69/spotřeba!$C$7</f>
        <v>734.71199999999999</v>
      </c>
      <c r="M69" s="32">
        <f>$E69/spotřeba!$C$8</f>
        <v>728.64</v>
      </c>
      <c r="N69" s="207">
        <f>$F69/spotřeba!$C$8</f>
        <v>881.65440000000001</v>
      </c>
      <c r="O69" s="30">
        <f>$E69/spotřeba!$C$9</f>
        <v>1035</v>
      </c>
      <c r="P69" s="33">
        <f>$F69/spotřeba!$C$9</f>
        <v>1252.3499999999999</v>
      </c>
    </row>
    <row r="70" spans="1:16" ht="15" customHeight="1" x14ac:dyDescent="0.25">
      <c r="A70" s="1" t="str">
        <f t="shared" si="3"/>
        <v>2243132-4</v>
      </c>
      <c r="B70" s="25">
        <v>224313</v>
      </c>
      <c r="C70" s="34" t="s">
        <v>57</v>
      </c>
      <c r="D70" s="27" t="s">
        <v>26</v>
      </c>
      <c r="E70" s="36">
        <v>910.8</v>
      </c>
      <c r="F70" s="29">
        <f t="shared" si="4"/>
        <v>1102.068</v>
      </c>
      <c r="G70" s="30">
        <f>$E70/spotřeba!$C$5</f>
        <v>413.99999999999994</v>
      </c>
      <c r="H70" s="31">
        <f>$F70/spotřeba!$C$5</f>
        <v>500.93999999999994</v>
      </c>
      <c r="I70" s="32">
        <f>$E70/spotřeba!$C$6</f>
        <v>505.99999999999994</v>
      </c>
      <c r="J70" s="207">
        <f>$F70/spotřeba!$C$6</f>
        <v>612.26</v>
      </c>
      <c r="K70" s="30">
        <f>$E70/spotřeba!$C$7</f>
        <v>607.19999999999993</v>
      </c>
      <c r="L70" s="31">
        <f>$F70/spotřeba!$C$7</f>
        <v>734.71199999999999</v>
      </c>
      <c r="M70" s="32">
        <f>$E70/spotřeba!$C$8</f>
        <v>728.64</v>
      </c>
      <c r="N70" s="207">
        <f>$F70/spotřeba!$C$8</f>
        <v>881.65440000000001</v>
      </c>
      <c r="O70" s="30">
        <f>$E70/spotřeba!$C$9</f>
        <v>1035</v>
      </c>
      <c r="P70" s="33">
        <f>$F70/spotřeba!$C$9</f>
        <v>1252.3499999999999</v>
      </c>
    </row>
    <row r="71" spans="1:16" ht="15" customHeight="1" x14ac:dyDescent="0.25">
      <c r="A71" s="1" t="str">
        <f t="shared" si="3"/>
        <v>2473134-7</v>
      </c>
      <c r="B71" s="25">
        <v>247313</v>
      </c>
      <c r="C71" s="34" t="s">
        <v>57</v>
      </c>
      <c r="D71" s="27" t="s">
        <v>32</v>
      </c>
      <c r="E71" s="36">
        <v>910.8</v>
      </c>
      <c r="F71" s="29">
        <f t="shared" si="4"/>
        <v>1102.068</v>
      </c>
      <c r="G71" s="30" t="s">
        <v>24</v>
      </c>
      <c r="H71" s="31" t="s">
        <v>24</v>
      </c>
      <c r="I71" s="32" t="s">
        <v>24</v>
      </c>
      <c r="J71" s="207" t="s">
        <v>24</v>
      </c>
      <c r="K71" s="30">
        <f>$E71/spotřeba!$C$7</f>
        <v>607.19999999999993</v>
      </c>
      <c r="L71" s="31">
        <f>$F71/spotřeba!$C$7</f>
        <v>734.71199999999999</v>
      </c>
      <c r="M71" s="32">
        <f>$E71/spotřeba!$C$8</f>
        <v>728.64</v>
      </c>
      <c r="N71" s="207">
        <f>$F71/spotřeba!$C$8</f>
        <v>881.65440000000001</v>
      </c>
      <c r="O71" s="30">
        <f>$E71/spotřeba!$C$9</f>
        <v>1035</v>
      </c>
      <c r="P71" s="33">
        <f>$F71/spotřeba!$C$9</f>
        <v>1252.3499999999999</v>
      </c>
    </row>
    <row r="72" spans="1:16" ht="15" customHeight="1" x14ac:dyDescent="0.25">
      <c r="A72" s="1" t="str">
        <f t="shared" si="3"/>
        <v>2243172-4</v>
      </c>
      <c r="B72" s="25">
        <v>224317</v>
      </c>
      <c r="C72" s="34" t="s">
        <v>61</v>
      </c>
      <c r="D72" s="27" t="s">
        <v>26</v>
      </c>
      <c r="E72" s="36">
        <v>910.8</v>
      </c>
      <c r="F72" s="29">
        <f t="shared" si="4"/>
        <v>1102.068</v>
      </c>
      <c r="G72" s="30">
        <f>$E72/spotřeba!$C$5</f>
        <v>413.99999999999994</v>
      </c>
      <c r="H72" s="31">
        <f>$F72/spotřeba!$C$5</f>
        <v>500.93999999999994</v>
      </c>
      <c r="I72" s="32">
        <f>$E72/spotřeba!$C$6</f>
        <v>505.99999999999994</v>
      </c>
      <c r="J72" s="33">
        <f>$F72/spotřeba!$C$6</f>
        <v>612.26</v>
      </c>
      <c r="K72" s="30">
        <f>$E72/spotřeba!$C$7</f>
        <v>607.19999999999993</v>
      </c>
      <c r="L72" s="31">
        <f>$F72/spotřeba!$C$7</f>
        <v>734.71199999999999</v>
      </c>
      <c r="M72" s="32">
        <f>$E72/spotřeba!$C$8</f>
        <v>728.64</v>
      </c>
      <c r="N72" s="207">
        <f>$F72/spotřeba!$C$8</f>
        <v>881.65440000000001</v>
      </c>
      <c r="O72" s="30">
        <f>$E72/spotřeba!$C$9</f>
        <v>1035</v>
      </c>
      <c r="P72" s="33">
        <f>$F72/spotřeba!$C$9</f>
        <v>1252.3499999999999</v>
      </c>
    </row>
    <row r="73" spans="1:16" ht="15" customHeight="1" x14ac:dyDescent="0.25">
      <c r="A73" s="1" t="str">
        <f t="shared" si="3"/>
        <v>2473174-7</v>
      </c>
      <c r="B73" s="25">
        <v>247317</v>
      </c>
      <c r="C73" s="34" t="s">
        <v>61</v>
      </c>
      <c r="D73" s="27" t="s">
        <v>32</v>
      </c>
      <c r="E73" s="36">
        <v>910.8</v>
      </c>
      <c r="F73" s="29">
        <f t="shared" si="4"/>
        <v>1102.068</v>
      </c>
      <c r="G73" s="30" t="s">
        <v>24</v>
      </c>
      <c r="H73" s="31" t="s">
        <v>24</v>
      </c>
      <c r="I73" s="32" t="s">
        <v>24</v>
      </c>
      <c r="J73" s="33" t="s">
        <v>24</v>
      </c>
      <c r="K73" s="30">
        <f>$E73/spotřeba!$C$7</f>
        <v>607.19999999999993</v>
      </c>
      <c r="L73" s="31">
        <f>$F73/spotřeba!$C$7</f>
        <v>734.71199999999999</v>
      </c>
      <c r="M73" s="32">
        <f>$E73/spotřeba!$C$8</f>
        <v>728.64</v>
      </c>
      <c r="N73" s="207">
        <f>$F73/spotřeba!$C$8</f>
        <v>881.65440000000001</v>
      </c>
      <c r="O73" s="30">
        <f>$E73/spotřeba!$C$9</f>
        <v>1035</v>
      </c>
      <c r="P73" s="33">
        <f>$F73/spotřeba!$C$9</f>
        <v>1252.3499999999999</v>
      </c>
    </row>
    <row r="74" spans="1:16" ht="15" customHeight="1" x14ac:dyDescent="0.25">
      <c r="A74" s="1" t="str">
        <f t="shared" si="3"/>
        <v>2243292-4</v>
      </c>
      <c r="B74" s="25">
        <v>224329</v>
      </c>
      <c r="C74" s="26" t="s">
        <v>68</v>
      </c>
      <c r="D74" s="27" t="s">
        <v>26</v>
      </c>
      <c r="E74" s="36">
        <v>910.8</v>
      </c>
      <c r="F74" s="37">
        <f t="shared" si="4"/>
        <v>1102.068</v>
      </c>
      <c r="G74" s="32">
        <f>$E74/spotřeba!$C$5</f>
        <v>413.99999999999994</v>
      </c>
      <c r="H74" s="207">
        <f>$F74/spotřeba!$C$5</f>
        <v>500.93999999999994</v>
      </c>
      <c r="I74" s="30">
        <f>$E74/spotřeba!$C$6</f>
        <v>505.99999999999994</v>
      </c>
      <c r="J74" s="31">
        <f>$F74/spotřeba!$C$6</f>
        <v>612.26</v>
      </c>
      <c r="K74" s="32">
        <f>$E74/spotřeba!$C$7</f>
        <v>607.19999999999993</v>
      </c>
      <c r="L74" s="207">
        <f>$F74/spotřeba!$C$7</f>
        <v>734.71199999999999</v>
      </c>
      <c r="M74" s="30">
        <f>$E74/spotřeba!$C$8</f>
        <v>728.64</v>
      </c>
      <c r="N74" s="31">
        <f>$F74/spotřeba!$C$8</f>
        <v>881.65440000000001</v>
      </c>
      <c r="O74" s="32">
        <f>$E74/spotřeba!$C$9</f>
        <v>1035</v>
      </c>
      <c r="P74" s="33">
        <f>$F74/spotřeba!$C$9</f>
        <v>1252.3499999999999</v>
      </c>
    </row>
    <row r="75" spans="1:16" ht="15" customHeight="1" x14ac:dyDescent="0.25">
      <c r="A75" s="1" t="str">
        <f t="shared" si="3"/>
        <v>2473294-7</v>
      </c>
      <c r="B75" s="25">
        <v>247329</v>
      </c>
      <c r="C75" s="26" t="s">
        <v>68</v>
      </c>
      <c r="D75" s="27" t="s">
        <v>32</v>
      </c>
      <c r="E75" s="36">
        <v>910.8</v>
      </c>
      <c r="F75" s="37">
        <f t="shared" si="4"/>
        <v>1102.068</v>
      </c>
      <c r="G75" s="32" t="s">
        <v>24</v>
      </c>
      <c r="H75" s="207" t="s">
        <v>24</v>
      </c>
      <c r="I75" s="30" t="s">
        <v>24</v>
      </c>
      <c r="J75" s="31" t="s">
        <v>24</v>
      </c>
      <c r="K75" s="32">
        <f>$E75/spotřeba!$C$7</f>
        <v>607.19999999999993</v>
      </c>
      <c r="L75" s="33">
        <f>$F75/spotřeba!$C$7</f>
        <v>734.71199999999999</v>
      </c>
      <c r="M75" s="30">
        <f>$E75/spotřeba!$C$8</f>
        <v>728.64</v>
      </c>
      <c r="N75" s="31">
        <f>$F75/spotřeba!$C$8</f>
        <v>881.65440000000001</v>
      </c>
      <c r="O75" s="32">
        <f>$E75/spotřeba!$C$9</f>
        <v>1035</v>
      </c>
      <c r="P75" s="33">
        <f>$F75/spotřeba!$C$9</f>
        <v>1252.3499999999999</v>
      </c>
    </row>
    <row r="76" spans="1:16" ht="15" customHeight="1" x14ac:dyDescent="0.25">
      <c r="A76" s="1" t="str">
        <f t="shared" si="3"/>
        <v>2242142-4</v>
      </c>
      <c r="B76" s="25">
        <v>224214</v>
      </c>
      <c r="C76" s="26" t="s">
        <v>43</v>
      </c>
      <c r="D76" s="27" t="s">
        <v>26</v>
      </c>
      <c r="E76" s="36">
        <v>886.8</v>
      </c>
      <c r="F76" s="37">
        <f t="shared" si="4"/>
        <v>1073.028</v>
      </c>
      <c r="G76" s="32">
        <f>$E76/spotřeba!$C$5</f>
        <v>403.09090909090907</v>
      </c>
      <c r="H76" s="207">
        <f>$F76/spotřeba!$C$5</f>
        <v>487.73999999999995</v>
      </c>
      <c r="I76" s="30">
        <f>$E76/spotřeba!$C$6</f>
        <v>492.66666666666663</v>
      </c>
      <c r="J76" s="31">
        <f>$F76/spotřeba!$C$6</f>
        <v>596.12666666666667</v>
      </c>
      <c r="K76" s="32">
        <f>$E76/spotřeba!$C$7</f>
        <v>591.19999999999993</v>
      </c>
      <c r="L76" s="33">
        <f>$F76/spotřeba!$C$7</f>
        <v>715.35199999999998</v>
      </c>
      <c r="M76" s="30">
        <f>$E76/spotřeba!$C$8</f>
        <v>709.43999999999994</v>
      </c>
      <c r="N76" s="31">
        <f>$F76/spotřeba!$C$8</f>
        <v>858.42240000000004</v>
      </c>
      <c r="O76" s="32">
        <f>$E76/spotřeba!$C$9</f>
        <v>1007.7272727272726</v>
      </c>
      <c r="P76" s="33">
        <f>$F76/spotřeba!$C$9</f>
        <v>1219.3499999999999</v>
      </c>
    </row>
    <row r="77" spans="1:16" ht="15" customHeight="1" x14ac:dyDescent="0.25">
      <c r="A77" s="1" t="str">
        <f t="shared" si="3"/>
        <v>2472144-7</v>
      </c>
      <c r="B77" s="25">
        <v>247214</v>
      </c>
      <c r="C77" s="26" t="s">
        <v>43</v>
      </c>
      <c r="D77" s="27" t="s">
        <v>32</v>
      </c>
      <c r="E77" s="36">
        <v>886.8</v>
      </c>
      <c r="F77" s="37">
        <f t="shared" si="4"/>
        <v>1073.028</v>
      </c>
      <c r="G77" s="32" t="s">
        <v>24</v>
      </c>
      <c r="H77" s="207" t="s">
        <v>24</v>
      </c>
      <c r="I77" s="30" t="s">
        <v>24</v>
      </c>
      <c r="J77" s="31" t="s">
        <v>24</v>
      </c>
      <c r="K77" s="32">
        <f>$E77/spotřeba!$C$7</f>
        <v>591.19999999999993</v>
      </c>
      <c r="L77" s="33">
        <f>$F77/spotřeba!$C$7</f>
        <v>715.35199999999998</v>
      </c>
      <c r="M77" s="30">
        <f>$E77/spotřeba!$C$8</f>
        <v>709.43999999999994</v>
      </c>
      <c r="N77" s="31">
        <f>$F77/spotřeba!$C$8</f>
        <v>858.42240000000004</v>
      </c>
      <c r="O77" s="32">
        <f>$E77/spotřeba!$C$9</f>
        <v>1007.7272727272726</v>
      </c>
      <c r="P77" s="33">
        <f>$F77/spotřeba!$C$9</f>
        <v>1219.3499999999999</v>
      </c>
    </row>
    <row r="78" spans="1:16" ht="15" customHeight="1" x14ac:dyDescent="0.25">
      <c r="A78" s="1" t="str">
        <f t="shared" si="3"/>
        <v>2243512-4</v>
      </c>
      <c r="B78" s="25">
        <v>224351</v>
      </c>
      <c r="C78" s="26" t="s">
        <v>85</v>
      </c>
      <c r="D78" s="27" t="s">
        <v>26</v>
      </c>
      <c r="E78" s="36">
        <v>910.8</v>
      </c>
      <c r="F78" s="37">
        <f t="shared" si="4"/>
        <v>1102.068</v>
      </c>
      <c r="G78" s="32">
        <f>$E78/spotřeba!$C$5</f>
        <v>413.99999999999994</v>
      </c>
      <c r="H78" s="207">
        <f>$F78/spotřeba!$C$5</f>
        <v>500.93999999999994</v>
      </c>
      <c r="I78" s="30">
        <f>$E78/spotřeba!$C$6</f>
        <v>505.99999999999994</v>
      </c>
      <c r="J78" s="31">
        <f>$F78/spotřeba!$C$6</f>
        <v>612.26</v>
      </c>
      <c r="K78" s="32">
        <f>$E78/spotřeba!$C$7</f>
        <v>607.19999999999993</v>
      </c>
      <c r="L78" s="207">
        <f>$F78/spotřeba!$C$7</f>
        <v>734.71199999999999</v>
      </c>
      <c r="M78" s="30">
        <f>$E78/spotřeba!$C$8</f>
        <v>728.64</v>
      </c>
      <c r="N78" s="31">
        <f>$F78/spotřeba!$C$8</f>
        <v>881.65440000000001</v>
      </c>
      <c r="O78" s="32">
        <f>$E78/spotřeba!$C$9</f>
        <v>1035</v>
      </c>
      <c r="P78" s="33">
        <f>$F78/spotřeba!$C$9</f>
        <v>1252.3499999999999</v>
      </c>
    </row>
    <row r="79" spans="1:16" ht="15" customHeight="1" x14ac:dyDescent="0.25">
      <c r="A79" s="1" t="str">
        <f t="shared" si="3"/>
        <v>2473514-7</v>
      </c>
      <c r="B79" s="25">
        <v>247351</v>
      </c>
      <c r="C79" s="26" t="s">
        <v>85</v>
      </c>
      <c r="D79" s="27" t="s">
        <v>32</v>
      </c>
      <c r="E79" s="36">
        <v>910.8</v>
      </c>
      <c r="F79" s="37">
        <f t="shared" si="4"/>
        <v>1102.068</v>
      </c>
      <c r="G79" s="32" t="s">
        <v>24</v>
      </c>
      <c r="H79" s="207" t="s">
        <v>24</v>
      </c>
      <c r="I79" s="30" t="s">
        <v>24</v>
      </c>
      <c r="J79" s="31" t="s">
        <v>24</v>
      </c>
      <c r="K79" s="32">
        <f>$E79/spotřeba!$C$7</f>
        <v>607.19999999999993</v>
      </c>
      <c r="L79" s="33">
        <f>$F79/spotřeba!$C$7</f>
        <v>734.71199999999999</v>
      </c>
      <c r="M79" s="30">
        <f>$E79/spotřeba!$C$8</f>
        <v>728.64</v>
      </c>
      <c r="N79" s="31">
        <f>$F79/spotřeba!$C$8</f>
        <v>881.65440000000001</v>
      </c>
      <c r="O79" s="32">
        <f>$E79/spotřeba!$C$9</f>
        <v>1035</v>
      </c>
      <c r="P79" s="33">
        <f>$F79/spotřeba!$C$9</f>
        <v>1252.3499999999999</v>
      </c>
    </row>
    <row r="80" spans="1:16" ht="15" customHeight="1" x14ac:dyDescent="0.25">
      <c r="A80" s="1" t="str">
        <f t="shared" si="3"/>
        <v>2243372-4</v>
      </c>
      <c r="B80" s="25">
        <v>224337</v>
      </c>
      <c r="C80" s="26" t="s">
        <v>75</v>
      </c>
      <c r="D80" s="27" t="s">
        <v>26</v>
      </c>
      <c r="E80" s="36">
        <v>910.8</v>
      </c>
      <c r="F80" s="37">
        <f t="shared" si="4"/>
        <v>1102.068</v>
      </c>
      <c r="G80" s="32">
        <f>$E80/spotřeba!$C$5</f>
        <v>413.99999999999994</v>
      </c>
      <c r="H80" s="207">
        <f>$F80/spotřeba!$C$5</f>
        <v>500.93999999999994</v>
      </c>
      <c r="I80" s="30">
        <f>$E80/spotřeba!$C$6</f>
        <v>505.99999999999994</v>
      </c>
      <c r="J80" s="31">
        <f>$F80/spotřeba!$C$6</f>
        <v>612.26</v>
      </c>
      <c r="K80" s="32">
        <f>$E80/spotřeba!$C$7</f>
        <v>607.19999999999993</v>
      </c>
      <c r="L80" s="207">
        <f>$F80/spotřeba!$C$7</f>
        <v>734.71199999999999</v>
      </c>
      <c r="M80" s="30">
        <f>$E80/spotřeba!$C$8</f>
        <v>728.64</v>
      </c>
      <c r="N80" s="31">
        <f>$F80/spotřeba!$C$8</f>
        <v>881.65440000000001</v>
      </c>
      <c r="O80" s="32">
        <f>$E80/spotřeba!$C$9</f>
        <v>1035</v>
      </c>
      <c r="P80" s="33">
        <f>$F80/spotřeba!$C$9</f>
        <v>1252.3499999999999</v>
      </c>
    </row>
    <row r="81" spans="1:16" ht="15.75" customHeight="1" x14ac:dyDescent="0.25">
      <c r="A81" s="1" t="str">
        <f t="shared" si="3"/>
        <v>2473374-7</v>
      </c>
      <c r="B81" s="25">
        <v>247337</v>
      </c>
      <c r="C81" s="26" t="s">
        <v>75</v>
      </c>
      <c r="D81" s="27" t="s">
        <v>32</v>
      </c>
      <c r="E81" s="36">
        <v>910.8</v>
      </c>
      <c r="F81" s="37">
        <f t="shared" si="4"/>
        <v>1102.068</v>
      </c>
      <c r="G81" s="32" t="s">
        <v>24</v>
      </c>
      <c r="H81" s="207" t="s">
        <v>24</v>
      </c>
      <c r="I81" s="30" t="s">
        <v>24</v>
      </c>
      <c r="J81" s="31" t="s">
        <v>24</v>
      </c>
      <c r="K81" s="32">
        <f>$E81/spotřeba!$C$7</f>
        <v>607.19999999999993</v>
      </c>
      <c r="L81" s="33">
        <f>$F81/spotřeba!$C$7</f>
        <v>734.71199999999999</v>
      </c>
      <c r="M81" s="30">
        <f>$E81/spotřeba!$C$8</f>
        <v>728.64</v>
      </c>
      <c r="N81" s="31">
        <f>$F81/spotřeba!$C$8</f>
        <v>881.65440000000001</v>
      </c>
      <c r="O81" s="32">
        <f>$E81/spotřeba!$C$9</f>
        <v>1035</v>
      </c>
      <c r="P81" s="33">
        <f>$F81/spotřeba!$C$9</f>
        <v>1252.3499999999999</v>
      </c>
    </row>
    <row r="82" spans="1:16" ht="15.75" customHeight="1" x14ac:dyDescent="0.25">
      <c r="A82" s="1" t="str">
        <f t="shared" si="3"/>
        <v>2243532-4</v>
      </c>
      <c r="B82" s="25">
        <v>224353</v>
      </c>
      <c r="C82" s="26" t="s">
        <v>87</v>
      </c>
      <c r="D82" s="27" t="s">
        <v>26</v>
      </c>
      <c r="E82" s="36">
        <v>910.8</v>
      </c>
      <c r="F82" s="37">
        <f t="shared" si="4"/>
        <v>1102.068</v>
      </c>
      <c r="G82" s="32">
        <f>$E82/spotřeba!$C$5</f>
        <v>413.99999999999994</v>
      </c>
      <c r="H82" s="207">
        <f>$F82/spotřeba!$C$5</f>
        <v>500.93999999999994</v>
      </c>
      <c r="I82" s="30">
        <f>$E82/spotřeba!$C$6</f>
        <v>505.99999999999994</v>
      </c>
      <c r="J82" s="31">
        <f>$F82/spotřeba!$C$6</f>
        <v>612.26</v>
      </c>
      <c r="K82" s="32">
        <f>$E82/spotřeba!$C$7</f>
        <v>607.19999999999993</v>
      </c>
      <c r="L82" s="207">
        <f>$F82/spotřeba!$C$7</f>
        <v>734.71199999999999</v>
      </c>
      <c r="M82" s="30">
        <f>$E82/spotřeba!$C$8</f>
        <v>728.64</v>
      </c>
      <c r="N82" s="31">
        <f>$F82/spotřeba!$C$8</f>
        <v>881.65440000000001</v>
      </c>
      <c r="O82" s="32">
        <f>$E82/spotřeba!$C$9</f>
        <v>1035</v>
      </c>
      <c r="P82" s="33">
        <f>$F82/spotřeba!$C$9</f>
        <v>1252.3499999999999</v>
      </c>
    </row>
    <row r="83" spans="1:16" ht="15.75" customHeight="1" x14ac:dyDescent="0.25">
      <c r="A83" s="1" t="str">
        <f t="shared" si="3"/>
        <v>2473534-7</v>
      </c>
      <c r="B83" s="25">
        <v>247353</v>
      </c>
      <c r="C83" s="26" t="s">
        <v>87</v>
      </c>
      <c r="D83" s="27" t="s">
        <v>32</v>
      </c>
      <c r="E83" s="36">
        <v>910.8</v>
      </c>
      <c r="F83" s="37">
        <f t="shared" si="4"/>
        <v>1102.068</v>
      </c>
      <c r="G83" s="32" t="s">
        <v>24</v>
      </c>
      <c r="H83" s="207" t="s">
        <v>24</v>
      </c>
      <c r="I83" s="30" t="s">
        <v>24</v>
      </c>
      <c r="J83" s="31" t="s">
        <v>24</v>
      </c>
      <c r="K83" s="32">
        <f>$E83/spotřeba!$C$7</f>
        <v>607.19999999999993</v>
      </c>
      <c r="L83" s="33">
        <f>$F83/spotřeba!$C$7</f>
        <v>734.71199999999999</v>
      </c>
      <c r="M83" s="30">
        <f>$E83/spotřeba!$C$8</f>
        <v>728.64</v>
      </c>
      <c r="N83" s="31">
        <f>$F83/spotřeba!$C$8</f>
        <v>881.65440000000001</v>
      </c>
      <c r="O83" s="32">
        <f>$E83/spotřeba!$C$9</f>
        <v>1035</v>
      </c>
      <c r="P83" s="33">
        <f>$F83/spotřeba!$C$9</f>
        <v>1252.3499999999999</v>
      </c>
    </row>
    <row r="84" spans="1:16" ht="15.75" customHeight="1" x14ac:dyDescent="0.25">
      <c r="A84" s="1" t="str">
        <f t="shared" si="3"/>
        <v>2242052-4</v>
      </c>
      <c r="B84" s="25">
        <v>224205</v>
      </c>
      <c r="C84" s="26" t="s">
        <v>36</v>
      </c>
      <c r="D84" s="27" t="s">
        <v>26</v>
      </c>
      <c r="E84" s="36">
        <v>838.8</v>
      </c>
      <c r="F84" s="37">
        <f t="shared" si="4"/>
        <v>1014.9479999999999</v>
      </c>
      <c r="G84" s="32">
        <f>$E84/spotřeba!$C$5</f>
        <v>381.2727272727272</v>
      </c>
      <c r="H84" s="207">
        <f>$F84/spotřeba!$C$5</f>
        <v>461.33999999999992</v>
      </c>
      <c r="I84" s="30">
        <f>$E84/spotřeba!$C$6</f>
        <v>465.99999999999994</v>
      </c>
      <c r="J84" s="31">
        <f>$F84/spotřeba!$C$6</f>
        <v>563.8599999999999</v>
      </c>
      <c r="K84" s="32">
        <f>$E84/spotřeba!$C$7</f>
        <v>559.19999999999993</v>
      </c>
      <c r="L84" s="33">
        <f>$F84/spotřeba!$C$7</f>
        <v>676.63199999999995</v>
      </c>
      <c r="M84" s="30">
        <f>$E84/spotřeba!$C$8</f>
        <v>671.04</v>
      </c>
      <c r="N84" s="31">
        <f>$F84/spotřeba!$C$8</f>
        <v>811.95839999999987</v>
      </c>
      <c r="O84" s="32">
        <f>$E84/spotřeba!$C$9</f>
        <v>953.18181818181813</v>
      </c>
      <c r="P84" s="33">
        <f>$F84/spotřeba!$C$9</f>
        <v>1153.3499999999999</v>
      </c>
    </row>
    <row r="85" spans="1:16" ht="15.75" customHeight="1" x14ac:dyDescent="0.25">
      <c r="A85" s="1" t="str">
        <f t="shared" si="3"/>
        <v>2472054-7</v>
      </c>
      <c r="B85" s="25">
        <v>247205</v>
      </c>
      <c r="C85" s="26" t="s">
        <v>36</v>
      </c>
      <c r="D85" s="27" t="s">
        <v>32</v>
      </c>
      <c r="E85" s="36">
        <v>838.8</v>
      </c>
      <c r="F85" s="37">
        <f t="shared" si="4"/>
        <v>1014.9479999999999</v>
      </c>
      <c r="G85" s="32" t="s">
        <v>24</v>
      </c>
      <c r="H85" s="207" t="s">
        <v>24</v>
      </c>
      <c r="I85" s="30" t="s">
        <v>24</v>
      </c>
      <c r="J85" s="31" t="s">
        <v>24</v>
      </c>
      <c r="K85" s="32">
        <f>$E85/spotřeba!$C$7</f>
        <v>559.19999999999993</v>
      </c>
      <c r="L85" s="33">
        <f>$F85/spotřeba!$C$7</f>
        <v>676.63199999999995</v>
      </c>
      <c r="M85" s="30">
        <f>$E85/spotřeba!$C$8</f>
        <v>671.04</v>
      </c>
      <c r="N85" s="31">
        <f>$F85/spotřeba!$C$8</f>
        <v>811.95839999999987</v>
      </c>
      <c r="O85" s="32">
        <f>$E85/spotřeba!$C$9</f>
        <v>953.18181818181813</v>
      </c>
      <c r="P85" s="33">
        <f>$F85/spotřeba!$C$9</f>
        <v>1153.3499999999999</v>
      </c>
    </row>
    <row r="86" spans="1:16" ht="15.75" customHeight="1" x14ac:dyDescent="0.25">
      <c r="A86" s="1" t="str">
        <f t="shared" si="3"/>
        <v>2243162-4</v>
      </c>
      <c r="B86" s="25">
        <v>224316</v>
      </c>
      <c r="C86" s="26" t="s">
        <v>60</v>
      </c>
      <c r="D86" s="27" t="s">
        <v>26</v>
      </c>
      <c r="E86" s="36">
        <v>910.8</v>
      </c>
      <c r="F86" s="37">
        <f t="shared" si="4"/>
        <v>1102.068</v>
      </c>
      <c r="G86" s="32">
        <f>$E86/spotřeba!$C$5</f>
        <v>413.99999999999994</v>
      </c>
      <c r="H86" s="207">
        <f>$F86/spotřeba!$C$5</f>
        <v>500.93999999999994</v>
      </c>
      <c r="I86" s="30">
        <f>$E86/spotřeba!$C$6</f>
        <v>505.99999999999994</v>
      </c>
      <c r="J86" s="31">
        <f>$F86/spotřeba!$C$6</f>
        <v>612.26</v>
      </c>
      <c r="K86" s="32">
        <f>$E86/spotřeba!$C$7</f>
        <v>607.19999999999993</v>
      </c>
      <c r="L86" s="207">
        <f>$F86/spotřeba!$C$7</f>
        <v>734.71199999999999</v>
      </c>
      <c r="M86" s="30">
        <f>$E86/spotřeba!$C$8</f>
        <v>728.64</v>
      </c>
      <c r="N86" s="31">
        <f>$F86/spotřeba!$C$8</f>
        <v>881.65440000000001</v>
      </c>
      <c r="O86" s="32">
        <f>$E86/spotřeba!$C$9</f>
        <v>1035</v>
      </c>
      <c r="P86" s="33">
        <f>$F86/spotřeba!$C$9</f>
        <v>1252.3499999999999</v>
      </c>
    </row>
    <row r="87" spans="1:16" ht="15.75" customHeight="1" x14ac:dyDescent="0.25">
      <c r="A87" s="1" t="str">
        <f t="shared" si="3"/>
        <v>2473164-7</v>
      </c>
      <c r="B87" s="25">
        <v>247316</v>
      </c>
      <c r="C87" s="26" t="s">
        <v>60</v>
      </c>
      <c r="D87" s="27" t="s">
        <v>32</v>
      </c>
      <c r="E87" s="36">
        <v>910.8</v>
      </c>
      <c r="F87" s="37">
        <f t="shared" si="4"/>
        <v>1102.068</v>
      </c>
      <c r="G87" s="32" t="s">
        <v>24</v>
      </c>
      <c r="H87" s="207" t="s">
        <v>24</v>
      </c>
      <c r="I87" s="30" t="s">
        <v>24</v>
      </c>
      <c r="J87" s="31" t="s">
        <v>24</v>
      </c>
      <c r="K87" s="32">
        <f>$E87/spotřeba!$C$7</f>
        <v>607.19999999999993</v>
      </c>
      <c r="L87" s="207">
        <f>$F87/spotřeba!$C$7</f>
        <v>734.71199999999999</v>
      </c>
      <c r="M87" s="30">
        <f>$E87/spotřeba!$C$8</f>
        <v>728.64</v>
      </c>
      <c r="N87" s="31">
        <f>$F87/spotřeba!$C$8</f>
        <v>881.65440000000001</v>
      </c>
      <c r="O87" s="32">
        <f>$E87/spotřeba!$C$9</f>
        <v>1035</v>
      </c>
      <c r="P87" s="33">
        <f>$F87/spotřeba!$C$9</f>
        <v>1252.3499999999999</v>
      </c>
    </row>
    <row r="88" spans="1:16" ht="15.75" customHeight="1" x14ac:dyDescent="0.25">
      <c r="A88" s="1" t="str">
        <f t="shared" si="3"/>
        <v>2243272-4</v>
      </c>
      <c r="B88" s="25">
        <v>224327</v>
      </c>
      <c r="C88" s="26" t="s">
        <v>66</v>
      </c>
      <c r="D88" s="27" t="s">
        <v>26</v>
      </c>
      <c r="E88" s="36">
        <v>910.8</v>
      </c>
      <c r="F88" s="37">
        <f t="shared" si="4"/>
        <v>1102.068</v>
      </c>
      <c r="G88" s="32">
        <f>$E88/spotřeba!$C$5</f>
        <v>413.99999999999994</v>
      </c>
      <c r="H88" s="207">
        <f>$F88/spotřeba!$C$5</f>
        <v>500.93999999999994</v>
      </c>
      <c r="I88" s="30">
        <f>$E88/spotřeba!$C$6</f>
        <v>505.99999999999994</v>
      </c>
      <c r="J88" s="31">
        <f>$F88/spotřeba!$C$6</f>
        <v>612.26</v>
      </c>
      <c r="K88" s="32">
        <f>$E88/spotřeba!$C$7</f>
        <v>607.19999999999993</v>
      </c>
      <c r="L88" s="207">
        <f>$F88/spotřeba!$C$7</f>
        <v>734.71199999999999</v>
      </c>
      <c r="M88" s="30">
        <f>$E88/spotřeba!$C$8</f>
        <v>728.64</v>
      </c>
      <c r="N88" s="31">
        <f>$F88/spotřeba!$C$8</f>
        <v>881.65440000000001</v>
      </c>
      <c r="O88" s="32">
        <f>$E88/spotřeba!$C$9</f>
        <v>1035</v>
      </c>
      <c r="P88" s="33">
        <f>$F88/spotřeba!$C$9</f>
        <v>1252.3499999999999</v>
      </c>
    </row>
    <row r="89" spans="1:16" ht="15.75" customHeight="1" x14ac:dyDescent="0.25">
      <c r="A89" s="1" t="str">
        <f t="shared" si="3"/>
        <v>2473274-7</v>
      </c>
      <c r="B89" s="25">
        <v>247327</v>
      </c>
      <c r="C89" s="26" t="s">
        <v>66</v>
      </c>
      <c r="D89" s="27" t="s">
        <v>32</v>
      </c>
      <c r="E89" s="36">
        <v>910.8</v>
      </c>
      <c r="F89" s="37">
        <f t="shared" si="4"/>
        <v>1102.068</v>
      </c>
      <c r="G89" s="32" t="s">
        <v>24</v>
      </c>
      <c r="H89" s="207" t="s">
        <v>24</v>
      </c>
      <c r="I89" s="30" t="s">
        <v>24</v>
      </c>
      <c r="J89" s="31" t="s">
        <v>24</v>
      </c>
      <c r="K89" s="32">
        <f>$E89/spotřeba!$C$7</f>
        <v>607.19999999999993</v>
      </c>
      <c r="L89" s="207">
        <f>$F89/spotřeba!$C$7</f>
        <v>734.71199999999999</v>
      </c>
      <c r="M89" s="30">
        <f>$E89/spotřeba!$C$8</f>
        <v>728.64</v>
      </c>
      <c r="N89" s="31">
        <f>$F89/spotřeba!$C$8</f>
        <v>881.65440000000001</v>
      </c>
      <c r="O89" s="32">
        <f>$E89/spotřeba!$C$9</f>
        <v>1035</v>
      </c>
      <c r="P89" s="33">
        <f>$F89/spotřeba!$C$9</f>
        <v>1252.3499999999999</v>
      </c>
    </row>
    <row r="90" spans="1:16" ht="15.75" customHeight="1" x14ac:dyDescent="0.25">
      <c r="A90" s="1" t="str">
        <f t="shared" si="3"/>
        <v>2243582-4</v>
      </c>
      <c r="B90" s="25">
        <v>224358</v>
      </c>
      <c r="C90" s="26" t="s">
        <v>91</v>
      </c>
      <c r="D90" s="27" t="s">
        <v>26</v>
      </c>
      <c r="E90" s="36">
        <v>910.8</v>
      </c>
      <c r="F90" s="37">
        <f t="shared" si="4"/>
        <v>1102.068</v>
      </c>
      <c r="G90" s="32">
        <f>$E90/spotřeba!$C$5</f>
        <v>413.99999999999994</v>
      </c>
      <c r="H90" s="207">
        <f>$F90/spotřeba!$C$5</f>
        <v>500.93999999999994</v>
      </c>
      <c r="I90" s="30">
        <f>$E90/spotřeba!$C$6</f>
        <v>505.99999999999994</v>
      </c>
      <c r="J90" s="31">
        <f>$F90/spotřeba!$C$6</f>
        <v>612.26</v>
      </c>
      <c r="K90" s="32">
        <f>$E90/spotřeba!$C$7</f>
        <v>607.19999999999993</v>
      </c>
      <c r="L90" s="207">
        <f>$F90/spotřeba!$C$7</f>
        <v>734.71199999999999</v>
      </c>
      <c r="M90" s="30">
        <f>$E90/spotřeba!$C$8</f>
        <v>728.64</v>
      </c>
      <c r="N90" s="31">
        <f>$F90/spotřeba!$C$8</f>
        <v>881.65440000000001</v>
      </c>
      <c r="O90" s="32">
        <f>$E90/spotřeba!$C$9</f>
        <v>1035</v>
      </c>
      <c r="P90" s="33">
        <f>$F90/spotřeba!$C$9</f>
        <v>1252.3499999999999</v>
      </c>
    </row>
    <row r="91" spans="1:16" ht="15.75" customHeight="1" x14ac:dyDescent="0.25">
      <c r="A91" s="1" t="str">
        <f t="shared" si="3"/>
        <v>2473584-7</v>
      </c>
      <c r="B91" s="25">
        <v>247358</v>
      </c>
      <c r="C91" s="26" t="s">
        <v>91</v>
      </c>
      <c r="D91" s="27" t="s">
        <v>32</v>
      </c>
      <c r="E91" s="36">
        <v>910.8</v>
      </c>
      <c r="F91" s="37">
        <f t="shared" si="4"/>
        <v>1102.068</v>
      </c>
      <c r="G91" s="32" t="s">
        <v>24</v>
      </c>
      <c r="H91" s="207" t="s">
        <v>24</v>
      </c>
      <c r="I91" s="30" t="s">
        <v>24</v>
      </c>
      <c r="J91" s="31" t="s">
        <v>24</v>
      </c>
      <c r="K91" s="32">
        <f>$E91/spotřeba!$C$7</f>
        <v>607.19999999999993</v>
      </c>
      <c r="L91" s="207">
        <f>$F91/spotřeba!$C$7</f>
        <v>734.71199999999999</v>
      </c>
      <c r="M91" s="30">
        <f>$E91/spotřeba!$C$8</f>
        <v>728.64</v>
      </c>
      <c r="N91" s="31">
        <f>$F91/spotřeba!$C$8</f>
        <v>881.65440000000001</v>
      </c>
      <c r="O91" s="32">
        <f>$E91/spotřeba!$C$9</f>
        <v>1035</v>
      </c>
      <c r="P91" s="33">
        <f>$F91/spotřeba!$C$9</f>
        <v>1252.3499999999999</v>
      </c>
    </row>
    <row r="92" spans="1:16" ht="15.75" customHeight="1" x14ac:dyDescent="0.25">
      <c r="A92" s="1" t="str">
        <f t="shared" si="3"/>
        <v>2242112-4</v>
      </c>
      <c r="B92" s="25">
        <v>224211</v>
      </c>
      <c r="C92" s="26" t="s">
        <v>41</v>
      </c>
      <c r="D92" s="27" t="s">
        <v>26</v>
      </c>
      <c r="E92" s="36">
        <v>850.8</v>
      </c>
      <c r="F92" s="37">
        <f t="shared" si="4"/>
        <v>1029.4679999999998</v>
      </c>
      <c r="G92" s="32">
        <f>$E92/spotřeba!$C$5</f>
        <v>386.72727272727269</v>
      </c>
      <c r="H92" s="207">
        <f>$F92/spotřeba!$C$5</f>
        <v>467.93999999999988</v>
      </c>
      <c r="I92" s="30">
        <f>$E92/spotřeba!$C$6</f>
        <v>472.66666666666663</v>
      </c>
      <c r="J92" s="31">
        <f>$F92/spotřeba!$C$6</f>
        <v>571.92666666666662</v>
      </c>
      <c r="K92" s="32">
        <f>$E92/spotřeba!$C$7</f>
        <v>567.19999999999993</v>
      </c>
      <c r="L92" s="207">
        <f>$F92/spotřeba!$C$7</f>
        <v>686.3119999999999</v>
      </c>
      <c r="M92" s="30">
        <f>$E92/spotřeba!$C$8</f>
        <v>680.64</v>
      </c>
      <c r="N92" s="31">
        <f>$F92/spotřeba!$C$8</f>
        <v>823.57439999999986</v>
      </c>
      <c r="O92" s="32">
        <f>$E92/spotřeba!$C$9</f>
        <v>966.81818181818176</v>
      </c>
      <c r="P92" s="33">
        <f>$F92/spotřeba!$C$9</f>
        <v>1169.8499999999999</v>
      </c>
    </row>
    <row r="93" spans="1:16" ht="15.75" customHeight="1" x14ac:dyDescent="0.25">
      <c r="A93" s="1" t="str">
        <f t="shared" si="3"/>
        <v>2472114-7</v>
      </c>
      <c r="B93" s="25">
        <v>247211</v>
      </c>
      <c r="C93" s="26" t="s">
        <v>41</v>
      </c>
      <c r="D93" s="27" t="s">
        <v>32</v>
      </c>
      <c r="E93" s="36">
        <v>850.8</v>
      </c>
      <c r="F93" s="37">
        <f t="shared" si="4"/>
        <v>1029.4679999999998</v>
      </c>
      <c r="G93" s="32" t="s">
        <v>24</v>
      </c>
      <c r="H93" s="207" t="s">
        <v>24</v>
      </c>
      <c r="I93" s="30" t="s">
        <v>24</v>
      </c>
      <c r="J93" s="31" t="s">
        <v>24</v>
      </c>
      <c r="K93" s="32">
        <f>$E93/spotřeba!$C$7</f>
        <v>567.19999999999993</v>
      </c>
      <c r="L93" s="207">
        <f>$F93/spotřeba!$C$7</f>
        <v>686.3119999999999</v>
      </c>
      <c r="M93" s="30">
        <f>$E93/spotřeba!$C$8</f>
        <v>680.64</v>
      </c>
      <c r="N93" s="31">
        <f>$F93/spotřeba!$C$8</f>
        <v>823.57439999999986</v>
      </c>
      <c r="O93" s="32">
        <f>$E93/spotřeba!$C$9</f>
        <v>966.81818181818176</v>
      </c>
      <c r="P93" s="33">
        <f>$F93/spotřeba!$C$9</f>
        <v>1169.8499999999999</v>
      </c>
    </row>
    <row r="94" spans="1:16" ht="15.75" customHeight="1" x14ac:dyDescent="0.25">
      <c r="A94" s="1" t="str">
        <f t="shared" si="3"/>
        <v>2243342-4</v>
      </c>
      <c r="B94" s="25">
        <v>224334</v>
      </c>
      <c r="C94" s="26" t="s">
        <v>73</v>
      </c>
      <c r="D94" s="27" t="s">
        <v>26</v>
      </c>
      <c r="E94" s="36">
        <v>910.8</v>
      </c>
      <c r="F94" s="37">
        <f t="shared" si="4"/>
        <v>1102.068</v>
      </c>
      <c r="G94" s="32">
        <f>$E94/spotřeba!$C$5</f>
        <v>413.99999999999994</v>
      </c>
      <c r="H94" s="207">
        <f>$F94/spotřeba!$C$5</f>
        <v>500.93999999999994</v>
      </c>
      <c r="I94" s="30">
        <f>$E94/spotřeba!$C$6</f>
        <v>505.99999999999994</v>
      </c>
      <c r="J94" s="31">
        <f>$F94/spotřeba!$C$6</f>
        <v>612.26</v>
      </c>
      <c r="K94" s="32">
        <f>$E94/spotřeba!$C$7</f>
        <v>607.19999999999993</v>
      </c>
      <c r="L94" s="207">
        <f>$F94/spotřeba!$C$7</f>
        <v>734.71199999999999</v>
      </c>
      <c r="M94" s="30">
        <f>$E94/spotřeba!$C$8</f>
        <v>728.64</v>
      </c>
      <c r="N94" s="31">
        <f>$F94/spotřeba!$C$8</f>
        <v>881.65440000000001</v>
      </c>
      <c r="O94" s="32">
        <f>$E94/spotřeba!$C$9</f>
        <v>1035</v>
      </c>
      <c r="P94" s="33">
        <f>$F94/spotřeba!$C$9</f>
        <v>1252.3499999999999</v>
      </c>
    </row>
    <row r="95" spans="1:16" ht="15.75" customHeight="1" x14ac:dyDescent="0.25">
      <c r="A95" s="1" t="str">
        <f t="shared" si="3"/>
        <v>2473344-7</v>
      </c>
      <c r="B95" s="25">
        <v>247334</v>
      </c>
      <c r="C95" s="26" t="s">
        <v>73</v>
      </c>
      <c r="D95" s="27" t="s">
        <v>32</v>
      </c>
      <c r="E95" s="36">
        <v>910.8</v>
      </c>
      <c r="F95" s="37">
        <f t="shared" si="4"/>
        <v>1102.068</v>
      </c>
      <c r="G95" s="32" t="s">
        <v>24</v>
      </c>
      <c r="H95" s="207" t="s">
        <v>24</v>
      </c>
      <c r="I95" s="30" t="s">
        <v>24</v>
      </c>
      <c r="J95" s="31" t="s">
        <v>24</v>
      </c>
      <c r="K95" s="32">
        <f>$E95/spotřeba!$C$7</f>
        <v>607.19999999999993</v>
      </c>
      <c r="L95" s="207">
        <f>$F95/spotřeba!$C$7</f>
        <v>734.71199999999999</v>
      </c>
      <c r="M95" s="30">
        <f>$E95/spotřeba!$C$8</f>
        <v>728.64</v>
      </c>
      <c r="N95" s="31">
        <f>$F95/spotřeba!$C$8</f>
        <v>881.65440000000001</v>
      </c>
      <c r="O95" s="32">
        <f>$E95/spotřeba!$C$9</f>
        <v>1035</v>
      </c>
      <c r="P95" s="33">
        <f>$F95/spotřeba!$C$9</f>
        <v>1252.3499999999999</v>
      </c>
    </row>
    <row r="96" spans="1:16" ht="15.75" customHeight="1" x14ac:dyDescent="0.25">
      <c r="A96" s="1" t="str">
        <f t="shared" si="3"/>
        <v>2242062-4</v>
      </c>
      <c r="B96" s="25">
        <v>224206</v>
      </c>
      <c r="C96" s="26" t="s">
        <v>37</v>
      </c>
      <c r="D96" s="27" t="s">
        <v>26</v>
      </c>
      <c r="E96" s="36">
        <v>826.8</v>
      </c>
      <c r="F96" s="37">
        <f t="shared" si="4"/>
        <v>1000.4279999999999</v>
      </c>
      <c r="G96" s="32">
        <f>$E96/spotřeba!$C$5</f>
        <v>375.81818181818176</v>
      </c>
      <c r="H96" s="207">
        <f>$F96/spotřeba!$C$5</f>
        <v>454.7399999999999</v>
      </c>
      <c r="I96" s="30">
        <f>$E96/spotřeba!$C$6</f>
        <v>459.33333333333331</v>
      </c>
      <c r="J96" s="31">
        <f>$F96/spotřeba!$C$6</f>
        <v>555.79333333333329</v>
      </c>
      <c r="K96" s="32">
        <f>$E96/spotřeba!$C$7</f>
        <v>551.19999999999993</v>
      </c>
      <c r="L96" s="207">
        <f>$F96/spotřeba!$C$7</f>
        <v>666.95199999999988</v>
      </c>
      <c r="M96" s="30">
        <f>$E96/spotřeba!$C$8</f>
        <v>661.43999999999994</v>
      </c>
      <c r="N96" s="31">
        <f>$F96/spotřeba!$C$8</f>
        <v>800.34239999999988</v>
      </c>
      <c r="O96" s="32">
        <f>$E96/spotřeba!$C$9</f>
        <v>939.5454545454545</v>
      </c>
      <c r="P96" s="33">
        <f>$F96/spotřeba!$C$9</f>
        <v>1136.8499999999999</v>
      </c>
    </row>
    <row r="97" spans="1:16" ht="15.75" customHeight="1" x14ac:dyDescent="0.25">
      <c r="A97" s="1" t="str">
        <f t="shared" si="3"/>
        <v>2472064-7</v>
      </c>
      <c r="B97" s="25">
        <v>247206</v>
      </c>
      <c r="C97" s="26" t="s">
        <v>37</v>
      </c>
      <c r="D97" s="27" t="s">
        <v>32</v>
      </c>
      <c r="E97" s="36">
        <v>826.8</v>
      </c>
      <c r="F97" s="37">
        <f t="shared" si="4"/>
        <v>1000.4279999999999</v>
      </c>
      <c r="G97" s="32" t="s">
        <v>24</v>
      </c>
      <c r="H97" s="207" t="s">
        <v>24</v>
      </c>
      <c r="I97" s="30" t="s">
        <v>24</v>
      </c>
      <c r="J97" s="31" t="s">
        <v>24</v>
      </c>
      <c r="K97" s="32">
        <f>$E97/spotřeba!$C$7</f>
        <v>551.19999999999993</v>
      </c>
      <c r="L97" s="207">
        <f>$F97/spotřeba!$C$7</f>
        <v>666.95199999999988</v>
      </c>
      <c r="M97" s="30">
        <f>$E97/spotřeba!$C$8</f>
        <v>661.43999999999994</v>
      </c>
      <c r="N97" s="31">
        <f>$F97/spotřeba!$C$8</f>
        <v>800.34239999999988</v>
      </c>
      <c r="O97" s="32">
        <f>$E97/spotřeba!$C$9</f>
        <v>939.5454545454545</v>
      </c>
      <c r="P97" s="33">
        <f>$F97/spotřeba!$C$9</f>
        <v>1136.8499999999999</v>
      </c>
    </row>
    <row r="98" spans="1:16" ht="15.75" customHeight="1" x14ac:dyDescent="0.25">
      <c r="A98" s="1" t="str">
        <f t="shared" si="3"/>
        <v>2242032-4</v>
      </c>
      <c r="B98" s="25">
        <v>224203</v>
      </c>
      <c r="C98" s="26" t="s">
        <v>34</v>
      </c>
      <c r="D98" s="27" t="s">
        <v>26</v>
      </c>
      <c r="E98" s="36">
        <v>832.8</v>
      </c>
      <c r="F98" s="37">
        <f t="shared" si="4"/>
        <v>1007.6879999999999</v>
      </c>
      <c r="G98" s="32">
        <f>$E98/spotřeba!$C$5</f>
        <v>378.5454545454545</v>
      </c>
      <c r="H98" s="207">
        <f>$F98/spotřeba!$C$5</f>
        <v>458.03999999999991</v>
      </c>
      <c r="I98" s="30">
        <f>$E98/spotřeba!$C$6</f>
        <v>462.66666666666663</v>
      </c>
      <c r="J98" s="31">
        <f>$F98/spotřeba!$C$6</f>
        <v>559.8266666666666</v>
      </c>
      <c r="K98" s="32">
        <f>$E98/spotřeba!$C$7</f>
        <v>555.19999999999993</v>
      </c>
      <c r="L98" s="207">
        <f>$F98/spotřeba!$C$7</f>
        <v>671.79199999999992</v>
      </c>
      <c r="M98" s="30">
        <f>$E98/spotřeba!$C$8</f>
        <v>666.24</v>
      </c>
      <c r="N98" s="31">
        <f>$F98/spotřeba!$C$8</f>
        <v>806.15039999999988</v>
      </c>
      <c r="O98" s="32">
        <f>$E98/spotřeba!$C$9</f>
        <v>946.36363636363626</v>
      </c>
      <c r="P98" s="33">
        <f>$F98/spotřeba!$C$9</f>
        <v>1145.0999999999999</v>
      </c>
    </row>
    <row r="99" spans="1:16" ht="15.75" customHeight="1" x14ac:dyDescent="0.25">
      <c r="A99" s="1" t="str">
        <f t="shared" si="3"/>
        <v>2472034-7</v>
      </c>
      <c r="B99" s="25">
        <v>247203</v>
      </c>
      <c r="C99" s="26" t="s">
        <v>34</v>
      </c>
      <c r="D99" s="27" t="s">
        <v>32</v>
      </c>
      <c r="E99" s="36">
        <v>832.8</v>
      </c>
      <c r="F99" s="37">
        <f t="shared" si="4"/>
        <v>1007.6879999999999</v>
      </c>
      <c r="G99" s="32" t="s">
        <v>24</v>
      </c>
      <c r="H99" s="207" t="s">
        <v>24</v>
      </c>
      <c r="I99" s="30" t="s">
        <v>24</v>
      </c>
      <c r="J99" s="31" t="s">
        <v>24</v>
      </c>
      <c r="K99" s="32">
        <f>$E99/spotřeba!$C$7</f>
        <v>555.19999999999993</v>
      </c>
      <c r="L99" s="207">
        <f>$F99/spotřeba!$C$7</f>
        <v>671.79199999999992</v>
      </c>
      <c r="M99" s="30">
        <f>$E99/spotřeba!$C$8</f>
        <v>666.24</v>
      </c>
      <c r="N99" s="31">
        <f>$F99/spotřeba!$C$8</f>
        <v>806.15039999999988</v>
      </c>
      <c r="O99" s="32">
        <f>$E99/spotřeba!$C$9</f>
        <v>946.36363636363626</v>
      </c>
      <c r="P99" s="33">
        <f>$F99/spotřeba!$C$9</f>
        <v>1145.0999999999999</v>
      </c>
    </row>
    <row r="100" spans="1:16" ht="15.75" customHeight="1" x14ac:dyDescent="0.25">
      <c r="A100" s="1" t="str">
        <f t="shared" si="3"/>
        <v>2243602-4</v>
      </c>
      <c r="B100" s="25">
        <v>224360</v>
      </c>
      <c r="C100" s="34" t="s">
        <v>93</v>
      </c>
      <c r="D100" s="27" t="s">
        <v>26</v>
      </c>
      <c r="E100" s="36">
        <v>910.8</v>
      </c>
      <c r="F100" s="29">
        <f t="shared" si="4"/>
        <v>1102.068</v>
      </c>
      <c r="G100" s="30">
        <f>$E100/spotřeba!$C$5</f>
        <v>413.99999999999994</v>
      </c>
      <c r="H100" s="31">
        <f>$F100/spotřeba!$C$5</f>
        <v>500.93999999999994</v>
      </c>
      <c r="I100" s="32">
        <f>$E100/spotřeba!$C$6</f>
        <v>505.99999999999994</v>
      </c>
      <c r="J100" s="207">
        <f>$F100/spotřeba!$C$6</f>
        <v>612.26</v>
      </c>
      <c r="K100" s="30">
        <f>$E100/spotřeba!$C$7</f>
        <v>607.19999999999993</v>
      </c>
      <c r="L100" s="31">
        <f>$F100/spotřeba!$C$7</f>
        <v>734.71199999999999</v>
      </c>
      <c r="M100" s="32">
        <f>$E100/spotřeba!$C$8</f>
        <v>728.64</v>
      </c>
      <c r="N100" s="207">
        <f>$F100/spotřeba!$C$8</f>
        <v>881.65440000000001</v>
      </c>
      <c r="O100" s="30">
        <f>$E100/spotřeba!$C$9</f>
        <v>1035</v>
      </c>
      <c r="P100" s="33">
        <f>$F100/spotřeba!$C$9</f>
        <v>1252.3499999999999</v>
      </c>
    </row>
    <row r="101" spans="1:16" ht="15.75" customHeight="1" x14ac:dyDescent="0.25">
      <c r="A101" s="1" t="str">
        <f t="shared" si="3"/>
        <v>2473604-7</v>
      </c>
      <c r="B101" s="25">
        <v>247360</v>
      </c>
      <c r="C101" s="34" t="s">
        <v>93</v>
      </c>
      <c r="D101" s="27" t="s">
        <v>32</v>
      </c>
      <c r="E101" s="36">
        <v>910.8</v>
      </c>
      <c r="F101" s="29">
        <f t="shared" ref="F101:F132" si="5">E101*1.21</f>
        <v>1102.068</v>
      </c>
      <c r="G101" s="30" t="s">
        <v>24</v>
      </c>
      <c r="H101" s="31" t="s">
        <v>24</v>
      </c>
      <c r="I101" s="32" t="s">
        <v>24</v>
      </c>
      <c r="J101" s="207" t="s">
        <v>24</v>
      </c>
      <c r="K101" s="30">
        <f>$E101/spotřeba!$C$7</f>
        <v>607.19999999999993</v>
      </c>
      <c r="L101" s="31">
        <f>$F101/spotřeba!$C$7</f>
        <v>734.71199999999999</v>
      </c>
      <c r="M101" s="32">
        <f>$E101/spotřeba!$C$8</f>
        <v>728.64</v>
      </c>
      <c r="N101" s="207">
        <f>$F101/spotřeba!$C$8</f>
        <v>881.65440000000001</v>
      </c>
      <c r="O101" s="30">
        <f>$E101/spotřeba!$C$9</f>
        <v>1035</v>
      </c>
      <c r="P101" s="33">
        <f>$F101/spotřeba!$C$9</f>
        <v>1252.3499999999999</v>
      </c>
    </row>
    <row r="102" spans="1:16" ht="15.75" customHeight="1" x14ac:dyDescent="0.25">
      <c r="A102" s="1" t="str">
        <f t="shared" si="3"/>
        <v>2243572-4</v>
      </c>
      <c r="B102" s="25">
        <v>224357</v>
      </c>
      <c r="C102" s="34" t="s">
        <v>90</v>
      </c>
      <c r="D102" s="27" t="s">
        <v>26</v>
      </c>
      <c r="E102" s="36">
        <v>910.8</v>
      </c>
      <c r="F102" s="29">
        <f t="shared" si="5"/>
        <v>1102.068</v>
      </c>
      <c r="G102" s="30">
        <f>$E102/spotřeba!$C$5</f>
        <v>413.99999999999994</v>
      </c>
      <c r="H102" s="31">
        <f>$F102/spotřeba!$C$5</f>
        <v>500.93999999999994</v>
      </c>
      <c r="I102" s="32">
        <f>$E102/spotřeba!$C$6</f>
        <v>505.99999999999994</v>
      </c>
      <c r="J102" s="33">
        <f>$F102/spotřeba!$C$6</f>
        <v>612.26</v>
      </c>
      <c r="K102" s="30">
        <f>$E102/spotřeba!$C$7</f>
        <v>607.19999999999993</v>
      </c>
      <c r="L102" s="31">
        <f>$F102/spotřeba!$C$7</f>
        <v>734.71199999999999</v>
      </c>
      <c r="M102" s="32">
        <f>$E102/spotřeba!$C$8</f>
        <v>728.64</v>
      </c>
      <c r="N102" s="33">
        <f>$F102/spotřeba!$C$8</f>
        <v>881.65440000000001</v>
      </c>
      <c r="O102" s="30">
        <f>$E102/spotřeba!$C$9</f>
        <v>1035</v>
      </c>
      <c r="P102" s="33">
        <f>$F102/spotřeba!$C$9</f>
        <v>1252.3499999999999</v>
      </c>
    </row>
    <row r="103" spans="1:16" ht="15.75" customHeight="1" x14ac:dyDescent="0.25">
      <c r="A103" s="1" t="str">
        <f t="shared" si="3"/>
        <v>2473574-7</v>
      </c>
      <c r="B103" s="25">
        <v>247357</v>
      </c>
      <c r="C103" s="34" t="s">
        <v>90</v>
      </c>
      <c r="D103" s="27" t="s">
        <v>32</v>
      </c>
      <c r="E103" s="36">
        <v>910.8</v>
      </c>
      <c r="F103" s="29">
        <f t="shared" si="5"/>
        <v>1102.068</v>
      </c>
      <c r="G103" s="30" t="s">
        <v>24</v>
      </c>
      <c r="H103" s="31" t="s">
        <v>24</v>
      </c>
      <c r="I103" s="32" t="s">
        <v>24</v>
      </c>
      <c r="J103" s="207" t="s">
        <v>24</v>
      </c>
      <c r="K103" s="30">
        <f>$E103/spotřeba!$C$7</f>
        <v>607.19999999999993</v>
      </c>
      <c r="L103" s="31">
        <f>$F103/spotřeba!$C$7</f>
        <v>734.71199999999999</v>
      </c>
      <c r="M103" s="32">
        <f>$E103/spotřeba!$C$8</f>
        <v>728.64</v>
      </c>
      <c r="N103" s="207">
        <f>$F103/spotřeba!$C$8</f>
        <v>881.65440000000001</v>
      </c>
      <c r="O103" s="30">
        <f>$E103/spotřeba!$C$9</f>
        <v>1035</v>
      </c>
      <c r="P103" s="33">
        <f>$F103/spotřeba!$C$9</f>
        <v>1252.3499999999999</v>
      </c>
    </row>
    <row r="104" spans="1:16" ht="15.75" customHeight="1" x14ac:dyDescent="0.25">
      <c r="A104" s="1" t="str">
        <f t="shared" si="3"/>
        <v>2243362-4</v>
      </c>
      <c r="B104" s="25">
        <v>224336</v>
      </c>
      <c r="C104" s="34" t="s">
        <v>74</v>
      </c>
      <c r="D104" s="27" t="s">
        <v>26</v>
      </c>
      <c r="E104" s="36">
        <v>910.8</v>
      </c>
      <c r="F104" s="29">
        <f t="shared" si="5"/>
        <v>1102.068</v>
      </c>
      <c r="G104" s="30">
        <f>$E104/spotřeba!$C$5</f>
        <v>413.99999999999994</v>
      </c>
      <c r="H104" s="31">
        <f>$F104/spotřeba!$C$5</f>
        <v>500.93999999999994</v>
      </c>
      <c r="I104" s="32">
        <f>$E104/spotřeba!$C$6</f>
        <v>505.99999999999994</v>
      </c>
      <c r="J104" s="33">
        <f>$F104/spotřeba!$C$6</f>
        <v>612.26</v>
      </c>
      <c r="K104" s="30">
        <f>$E104/spotřeba!$C$7</f>
        <v>607.19999999999993</v>
      </c>
      <c r="L104" s="31">
        <f>$F104/spotřeba!$C$7</f>
        <v>734.71199999999999</v>
      </c>
      <c r="M104" s="32">
        <f>$E104/spotřeba!$C$8</f>
        <v>728.64</v>
      </c>
      <c r="N104" s="33">
        <f>$F104/spotřeba!$C$8</f>
        <v>881.65440000000001</v>
      </c>
      <c r="O104" s="30">
        <f>$E104/spotřeba!$C$9</f>
        <v>1035</v>
      </c>
      <c r="P104" s="33">
        <f>$F104/spotřeba!$C$9</f>
        <v>1252.3499999999999</v>
      </c>
    </row>
    <row r="105" spans="1:16" ht="15.75" customHeight="1" x14ac:dyDescent="0.25">
      <c r="A105" s="1" t="str">
        <f t="shared" si="3"/>
        <v>2473364-7</v>
      </c>
      <c r="B105" s="25">
        <v>247336</v>
      </c>
      <c r="C105" s="34" t="s">
        <v>74</v>
      </c>
      <c r="D105" s="27" t="s">
        <v>32</v>
      </c>
      <c r="E105" s="36">
        <v>910.8</v>
      </c>
      <c r="F105" s="29">
        <f t="shared" si="5"/>
        <v>1102.068</v>
      </c>
      <c r="G105" s="30" t="s">
        <v>24</v>
      </c>
      <c r="H105" s="31" t="s">
        <v>24</v>
      </c>
      <c r="I105" s="32" t="s">
        <v>24</v>
      </c>
      <c r="J105" s="207" t="s">
        <v>24</v>
      </c>
      <c r="K105" s="30">
        <f>$E105/spotřeba!$C$7</f>
        <v>607.19999999999993</v>
      </c>
      <c r="L105" s="31">
        <f>$F105/spotřeba!$C$7</f>
        <v>734.71199999999999</v>
      </c>
      <c r="M105" s="32">
        <f>$E105/spotřeba!$C$8</f>
        <v>728.64</v>
      </c>
      <c r="N105" s="207">
        <f>$F105/spotřeba!$C$8</f>
        <v>881.65440000000001</v>
      </c>
      <c r="O105" s="30">
        <f>$E105/spotřeba!$C$9</f>
        <v>1035</v>
      </c>
      <c r="P105" s="33">
        <f>$F105/spotřeba!$C$9</f>
        <v>1252.3499999999999</v>
      </c>
    </row>
    <row r="106" spans="1:16" ht="15.75" customHeight="1" x14ac:dyDescent="0.25">
      <c r="A106" s="1" t="str">
        <f t="shared" ref="A106:A140" si="6">B106&amp;D106</f>
        <v>2243612-4</v>
      </c>
      <c r="B106" s="25">
        <v>224361</v>
      </c>
      <c r="C106" s="26" t="s">
        <v>94</v>
      </c>
      <c r="D106" s="27" t="s">
        <v>26</v>
      </c>
      <c r="E106" s="36">
        <v>910.8</v>
      </c>
      <c r="F106" s="37">
        <f t="shared" si="5"/>
        <v>1102.068</v>
      </c>
      <c r="G106" s="32">
        <f>$E106/spotřeba!$C$5</f>
        <v>413.99999999999994</v>
      </c>
      <c r="H106" s="207">
        <f>$F106/spotřeba!$C$5</f>
        <v>500.93999999999994</v>
      </c>
      <c r="I106" s="30">
        <f>$E106/spotřeba!$C$6</f>
        <v>505.99999999999994</v>
      </c>
      <c r="J106" s="31">
        <f>$F106/spotřeba!$C$6</f>
        <v>612.26</v>
      </c>
      <c r="K106" s="32">
        <f>$E106/spotřeba!$C$7</f>
        <v>607.19999999999993</v>
      </c>
      <c r="L106" s="207">
        <f>$F106/spotřeba!$C$7</f>
        <v>734.71199999999999</v>
      </c>
      <c r="M106" s="30">
        <f>$E106/spotřeba!$C$8</f>
        <v>728.64</v>
      </c>
      <c r="N106" s="31">
        <f>$F106/spotřeba!$C$8</f>
        <v>881.65440000000001</v>
      </c>
      <c r="O106" s="32">
        <f>$E106/spotřeba!$C$9</f>
        <v>1035</v>
      </c>
      <c r="P106" s="33">
        <f>$F106/spotřeba!$C$9</f>
        <v>1252.3499999999999</v>
      </c>
    </row>
    <row r="107" spans="1:16" x14ac:dyDescent="0.25">
      <c r="A107" s="1" t="str">
        <f t="shared" si="6"/>
        <v>2473614-7</v>
      </c>
      <c r="B107" s="25">
        <v>247361</v>
      </c>
      <c r="C107" s="26" t="s">
        <v>94</v>
      </c>
      <c r="D107" s="27" t="s">
        <v>32</v>
      </c>
      <c r="E107" s="36">
        <v>910.8</v>
      </c>
      <c r="F107" s="37">
        <f t="shared" si="5"/>
        <v>1102.068</v>
      </c>
      <c r="G107" s="32" t="s">
        <v>24</v>
      </c>
      <c r="H107" s="33" t="s">
        <v>24</v>
      </c>
      <c r="I107" s="30" t="s">
        <v>24</v>
      </c>
      <c r="J107" s="31" t="s">
        <v>24</v>
      </c>
      <c r="K107" s="32">
        <f>$E107/spotřeba!$C$7</f>
        <v>607.19999999999993</v>
      </c>
      <c r="L107" s="33">
        <f>$F107/spotřeba!$C$7</f>
        <v>734.71199999999999</v>
      </c>
      <c r="M107" s="30">
        <f>$E107/spotřeba!$C$8</f>
        <v>728.64</v>
      </c>
      <c r="N107" s="31">
        <f>$F107/spotřeba!$C$8</f>
        <v>881.65440000000001</v>
      </c>
      <c r="O107" s="32">
        <f>$E107/spotřeba!$C$9</f>
        <v>1035</v>
      </c>
      <c r="P107" s="33">
        <f>$F107/spotřeba!$C$9</f>
        <v>1252.3499999999999</v>
      </c>
    </row>
    <row r="108" spans="1:16" x14ac:dyDescent="0.25">
      <c r="A108" s="1" t="str">
        <f t="shared" si="6"/>
        <v>2243482-4</v>
      </c>
      <c r="B108" s="35">
        <v>224348</v>
      </c>
      <c r="C108" s="26" t="s">
        <v>82</v>
      </c>
      <c r="D108" s="27" t="s">
        <v>26</v>
      </c>
      <c r="E108" s="36">
        <v>910.8</v>
      </c>
      <c r="F108" s="37">
        <f t="shared" si="5"/>
        <v>1102.068</v>
      </c>
      <c r="G108" s="32">
        <f>$E108/spotřeba!$C$5</f>
        <v>413.99999999999994</v>
      </c>
      <c r="H108" s="207">
        <f>$F108/spotřeba!$C$5</f>
        <v>500.93999999999994</v>
      </c>
      <c r="I108" s="30">
        <f>$E108/spotřeba!$C$6</f>
        <v>505.99999999999994</v>
      </c>
      <c r="J108" s="31">
        <f>$F108/spotřeba!$C$6</f>
        <v>612.26</v>
      </c>
      <c r="K108" s="32">
        <f>$E108/spotřeba!$C$7</f>
        <v>607.19999999999993</v>
      </c>
      <c r="L108" s="207">
        <f>$F108/spotřeba!$C$7</f>
        <v>734.71199999999999</v>
      </c>
      <c r="M108" s="30">
        <f>$E108/spotřeba!$C$8</f>
        <v>728.64</v>
      </c>
      <c r="N108" s="31">
        <f>$F108/spotřeba!$C$8</f>
        <v>881.65440000000001</v>
      </c>
      <c r="O108" s="32">
        <f>$E108/spotřeba!$C$9</f>
        <v>1035</v>
      </c>
      <c r="P108" s="33">
        <f>$F108/spotřeba!$C$9</f>
        <v>1252.3499999999999</v>
      </c>
    </row>
    <row r="109" spans="1:16" x14ac:dyDescent="0.25">
      <c r="A109" s="1" t="str">
        <f t="shared" si="6"/>
        <v>2473484-7</v>
      </c>
      <c r="B109" s="35">
        <v>247348</v>
      </c>
      <c r="C109" s="26" t="s">
        <v>82</v>
      </c>
      <c r="D109" s="27" t="s">
        <v>32</v>
      </c>
      <c r="E109" s="36">
        <v>910.8</v>
      </c>
      <c r="F109" s="29">
        <f t="shared" si="5"/>
        <v>1102.068</v>
      </c>
      <c r="G109" s="30" t="s">
        <v>24</v>
      </c>
      <c r="H109" s="31" t="s">
        <v>24</v>
      </c>
      <c r="I109" s="32" t="s">
        <v>24</v>
      </c>
      <c r="J109" s="207" t="s">
        <v>24</v>
      </c>
      <c r="K109" s="30">
        <f>$E109/spotřeba!$C$7</f>
        <v>607.19999999999993</v>
      </c>
      <c r="L109" s="31">
        <f>$F109/spotřeba!$C$7</f>
        <v>734.71199999999999</v>
      </c>
      <c r="M109" s="32">
        <f>$E109/spotřeba!$C$8</f>
        <v>728.64</v>
      </c>
      <c r="N109" s="207">
        <f>$F109/spotřeba!$C$8</f>
        <v>881.65440000000001</v>
      </c>
      <c r="O109" s="30">
        <f>$E109/spotřeba!$C$9</f>
        <v>1035</v>
      </c>
      <c r="P109" s="33">
        <f>$F109/spotřeba!$C$9</f>
        <v>1252.3499999999999</v>
      </c>
    </row>
    <row r="110" spans="1:16" x14ac:dyDescent="0.25">
      <c r="A110" s="1" t="str">
        <f t="shared" si="6"/>
        <v>2361053-6</v>
      </c>
      <c r="B110" s="25">
        <v>236105</v>
      </c>
      <c r="C110" s="26" t="s">
        <v>29</v>
      </c>
      <c r="D110" s="27" t="s">
        <v>30</v>
      </c>
      <c r="E110" s="36">
        <v>606</v>
      </c>
      <c r="F110" s="29">
        <f t="shared" si="5"/>
        <v>733.26</v>
      </c>
      <c r="G110" s="30" t="s">
        <v>24</v>
      </c>
      <c r="H110" s="31" t="s">
        <v>24</v>
      </c>
      <c r="I110" s="32">
        <f>$E110/spotřeba!$C$6</f>
        <v>336.66666666666669</v>
      </c>
      <c r="J110" s="207">
        <f>$F110/spotřeba!$C$6</f>
        <v>407.36666666666667</v>
      </c>
      <c r="K110" s="30">
        <f>$E110/spotřeba!$C$7</f>
        <v>404</v>
      </c>
      <c r="L110" s="31">
        <f>$F110/spotřeba!$C$7</f>
        <v>488.84</v>
      </c>
      <c r="M110" s="32">
        <f>$E110/spotřeba!$C$8</f>
        <v>484.8</v>
      </c>
      <c r="N110" s="207">
        <f>$F110/spotřeba!$C$8</f>
        <v>586.60799999999995</v>
      </c>
      <c r="O110" s="30">
        <f>$E110/spotřeba!$C$9</f>
        <v>688.63636363636363</v>
      </c>
      <c r="P110" s="33">
        <f>$F110/spotřeba!$C$9</f>
        <v>833.25</v>
      </c>
    </row>
    <row r="111" spans="1:16" x14ac:dyDescent="0.25">
      <c r="A111" s="1" t="str">
        <f t="shared" si="6"/>
        <v>2243492-4</v>
      </c>
      <c r="B111" s="25">
        <v>224349</v>
      </c>
      <c r="C111" s="26" t="s">
        <v>83</v>
      </c>
      <c r="D111" s="27" t="s">
        <v>26</v>
      </c>
      <c r="E111" s="36">
        <v>910.8</v>
      </c>
      <c r="F111" s="37">
        <f t="shared" si="5"/>
        <v>1102.068</v>
      </c>
      <c r="G111" s="32">
        <f>$E111/spotřeba!$C$5</f>
        <v>413.99999999999994</v>
      </c>
      <c r="H111" s="207">
        <f>$F111/spotřeba!$C$5</f>
        <v>500.93999999999994</v>
      </c>
      <c r="I111" s="30">
        <f>$E111/spotřeba!$C$6</f>
        <v>505.99999999999994</v>
      </c>
      <c r="J111" s="31">
        <f>$F111/spotřeba!$C$6</f>
        <v>612.26</v>
      </c>
      <c r="K111" s="32">
        <f>$E111/spotřeba!$C$7</f>
        <v>607.19999999999993</v>
      </c>
      <c r="L111" s="207">
        <f>$F111/spotřeba!$C$7</f>
        <v>734.71199999999999</v>
      </c>
      <c r="M111" s="30">
        <f>$E111/spotřeba!$C$8</f>
        <v>728.64</v>
      </c>
      <c r="N111" s="31">
        <f>$F111/spotřeba!$C$8</f>
        <v>881.65440000000001</v>
      </c>
      <c r="O111" s="32">
        <f>$E111/spotřeba!$C$9</f>
        <v>1035</v>
      </c>
      <c r="P111" s="33">
        <f>$F111/spotřeba!$C$9</f>
        <v>1252.3499999999999</v>
      </c>
    </row>
    <row r="112" spans="1:16" x14ac:dyDescent="0.25">
      <c r="A112" s="1" t="str">
        <f t="shared" si="6"/>
        <v>2473494-7</v>
      </c>
      <c r="B112" s="25">
        <v>247349</v>
      </c>
      <c r="C112" s="26" t="s">
        <v>83</v>
      </c>
      <c r="D112" s="27" t="s">
        <v>32</v>
      </c>
      <c r="E112" s="36">
        <v>910.8</v>
      </c>
      <c r="F112" s="37">
        <f t="shared" si="5"/>
        <v>1102.068</v>
      </c>
      <c r="G112" s="32" t="s">
        <v>24</v>
      </c>
      <c r="H112" s="33" t="s">
        <v>24</v>
      </c>
      <c r="I112" s="30" t="s">
        <v>24</v>
      </c>
      <c r="J112" s="31" t="s">
        <v>24</v>
      </c>
      <c r="K112" s="32">
        <f>$E112/spotřeba!$C$7</f>
        <v>607.19999999999993</v>
      </c>
      <c r="L112" s="33">
        <f>$F112/spotřeba!$C$7</f>
        <v>734.71199999999999</v>
      </c>
      <c r="M112" s="30">
        <f>$E112/spotřeba!$C$8</f>
        <v>728.64</v>
      </c>
      <c r="N112" s="31">
        <f>$F112/spotřeba!$C$8</f>
        <v>881.65440000000001</v>
      </c>
      <c r="O112" s="32">
        <f>$E112/spotřeba!$C$9</f>
        <v>1035</v>
      </c>
      <c r="P112" s="33">
        <f>$F112/spotřeba!$C$9</f>
        <v>1252.3499999999999</v>
      </c>
    </row>
    <row r="113" spans="1:16" x14ac:dyDescent="0.25">
      <c r="A113" s="1" t="str">
        <f t="shared" si="6"/>
        <v>2242092-4</v>
      </c>
      <c r="B113" s="25">
        <v>224209</v>
      </c>
      <c r="C113" s="26" t="s">
        <v>39</v>
      </c>
      <c r="D113" s="27" t="s">
        <v>26</v>
      </c>
      <c r="E113" s="36">
        <v>886.8</v>
      </c>
      <c r="F113" s="37">
        <f t="shared" si="5"/>
        <v>1073.028</v>
      </c>
      <c r="G113" s="32">
        <f>$E113/spotřeba!$C$5</f>
        <v>403.09090909090907</v>
      </c>
      <c r="H113" s="207">
        <f>$F113/spotřeba!$C$5</f>
        <v>487.73999999999995</v>
      </c>
      <c r="I113" s="30">
        <f>$E113/spotřeba!$C$6</f>
        <v>492.66666666666663</v>
      </c>
      <c r="J113" s="31">
        <f>$F113/spotřeba!$C$6</f>
        <v>596.12666666666667</v>
      </c>
      <c r="K113" s="32">
        <f>$E113/spotřeba!$C$7</f>
        <v>591.19999999999993</v>
      </c>
      <c r="L113" s="33">
        <f>$F113/spotřeba!$C$7</f>
        <v>715.35199999999998</v>
      </c>
      <c r="M113" s="30">
        <f>$E113/spotřeba!$C$8</f>
        <v>709.43999999999994</v>
      </c>
      <c r="N113" s="31">
        <f>$F113/spotřeba!$C$8</f>
        <v>858.42240000000004</v>
      </c>
      <c r="O113" s="32">
        <f>$E113/spotřeba!$C$9</f>
        <v>1007.7272727272726</v>
      </c>
      <c r="P113" s="33">
        <f>$F113/spotřeba!$C$9</f>
        <v>1219.3499999999999</v>
      </c>
    </row>
    <row r="114" spans="1:16" x14ac:dyDescent="0.25">
      <c r="A114" s="1" t="str">
        <f t="shared" si="6"/>
        <v>2472094-7</v>
      </c>
      <c r="B114" s="25">
        <v>247209</v>
      </c>
      <c r="C114" s="26" t="s">
        <v>39</v>
      </c>
      <c r="D114" s="27" t="s">
        <v>32</v>
      </c>
      <c r="E114" s="36">
        <v>886.8</v>
      </c>
      <c r="F114" s="37">
        <f t="shared" si="5"/>
        <v>1073.028</v>
      </c>
      <c r="G114" s="32" t="s">
        <v>24</v>
      </c>
      <c r="H114" s="33" t="s">
        <v>24</v>
      </c>
      <c r="I114" s="30" t="s">
        <v>24</v>
      </c>
      <c r="J114" s="31" t="s">
        <v>24</v>
      </c>
      <c r="K114" s="32">
        <f>$E114/spotřeba!$C$7</f>
        <v>591.19999999999993</v>
      </c>
      <c r="L114" s="33">
        <f>$F114/spotřeba!$C$7</f>
        <v>715.35199999999998</v>
      </c>
      <c r="M114" s="30">
        <f>$E114/spotřeba!$C$8</f>
        <v>709.43999999999994</v>
      </c>
      <c r="N114" s="31">
        <f>$F114/spotřeba!$C$8</f>
        <v>858.42240000000004</v>
      </c>
      <c r="O114" s="32">
        <f>$E114/spotřeba!$C$9</f>
        <v>1007.7272727272726</v>
      </c>
      <c r="P114" s="33">
        <f>$F114/spotřeba!$C$9</f>
        <v>1219.3499999999999</v>
      </c>
    </row>
    <row r="115" spans="1:16" x14ac:dyDescent="0.25">
      <c r="A115" s="1" t="str">
        <f t="shared" si="6"/>
        <v>2242182-4</v>
      </c>
      <c r="B115" s="35">
        <v>224218</v>
      </c>
      <c r="C115" s="26" t="s">
        <v>45</v>
      </c>
      <c r="D115" s="27" t="s">
        <v>26</v>
      </c>
      <c r="E115" s="36">
        <v>844.8</v>
      </c>
      <c r="F115" s="37">
        <f t="shared" si="5"/>
        <v>1022.208</v>
      </c>
      <c r="G115" s="32">
        <f>$E115/spotřeba!$C$5</f>
        <v>383.99999999999994</v>
      </c>
      <c r="H115" s="207">
        <f>$F115/spotřeba!$C$5</f>
        <v>464.63999999999993</v>
      </c>
      <c r="I115" s="30">
        <f>$E115/spotřeba!$C$6</f>
        <v>469.33333333333331</v>
      </c>
      <c r="J115" s="31">
        <f>$F115/spotřeba!$C$6</f>
        <v>567.89333333333332</v>
      </c>
      <c r="K115" s="32">
        <f>$E115/spotřeba!$C$7</f>
        <v>563.19999999999993</v>
      </c>
      <c r="L115" s="33">
        <f>$F115/spotřeba!$C$7</f>
        <v>681.47199999999998</v>
      </c>
      <c r="M115" s="30">
        <f>$E115/spotřeba!$C$8</f>
        <v>675.83999999999992</v>
      </c>
      <c r="N115" s="31">
        <f>$F115/spotřeba!$C$8</f>
        <v>817.76639999999998</v>
      </c>
      <c r="O115" s="32">
        <f>$E115/spotřeba!$C$9</f>
        <v>960</v>
      </c>
      <c r="P115" s="33">
        <f>$F115/spotřeba!$C$9</f>
        <v>1161.5999999999999</v>
      </c>
    </row>
    <row r="116" spans="1:16" x14ac:dyDescent="0.25">
      <c r="A116" s="1" t="str">
        <f t="shared" si="6"/>
        <v>2472184-7</v>
      </c>
      <c r="B116" s="35">
        <v>247218</v>
      </c>
      <c r="C116" s="26" t="s">
        <v>45</v>
      </c>
      <c r="D116" s="27" t="s">
        <v>32</v>
      </c>
      <c r="E116" s="36">
        <v>844.8</v>
      </c>
      <c r="F116" s="37">
        <f t="shared" si="5"/>
        <v>1022.208</v>
      </c>
      <c r="G116" s="32" t="s">
        <v>24</v>
      </c>
      <c r="H116" s="33" t="s">
        <v>24</v>
      </c>
      <c r="I116" s="30" t="s">
        <v>24</v>
      </c>
      <c r="J116" s="31" t="s">
        <v>24</v>
      </c>
      <c r="K116" s="32">
        <f>$E116/spotřeba!$C$7</f>
        <v>563.19999999999993</v>
      </c>
      <c r="L116" s="33">
        <f>$F116/spotřeba!$C$7</f>
        <v>681.47199999999998</v>
      </c>
      <c r="M116" s="30">
        <f>$E116/spotřeba!$C$8</f>
        <v>675.83999999999992</v>
      </c>
      <c r="N116" s="31">
        <f>$F116/spotřeba!$C$8</f>
        <v>817.76639999999998</v>
      </c>
      <c r="O116" s="32">
        <f>$E116/spotřeba!$C$9</f>
        <v>960</v>
      </c>
      <c r="P116" s="33">
        <f>$F116/spotřeba!$C$9</f>
        <v>1161.5999999999999</v>
      </c>
    </row>
    <row r="117" spans="1:16" x14ac:dyDescent="0.25">
      <c r="A117" s="1" t="str">
        <f t="shared" si="6"/>
        <v>2243072-4</v>
      </c>
      <c r="B117" s="25">
        <v>224307</v>
      </c>
      <c r="C117" s="26" t="s">
        <v>52</v>
      </c>
      <c r="D117" s="27" t="s">
        <v>26</v>
      </c>
      <c r="E117" s="36">
        <v>910.8</v>
      </c>
      <c r="F117" s="37">
        <f t="shared" si="5"/>
        <v>1102.068</v>
      </c>
      <c r="G117" s="32">
        <f>$E117/spotřeba!$C$5</f>
        <v>413.99999999999994</v>
      </c>
      <c r="H117" s="207">
        <f>$F117/spotřeba!$C$5</f>
        <v>500.93999999999994</v>
      </c>
      <c r="I117" s="30">
        <f>$E117/spotřeba!$C$6</f>
        <v>505.99999999999994</v>
      </c>
      <c r="J117" s="31">
        <f>$F117/spotřeba!$C$6</f>
        <v>612.26</v>
      </c>
      <c r="K117" s="32">
        <f>$E117/spotřeba!$C$7</f>
        <v>607.19999999999993</v>
      </c>
      <c r="L117" s="33">
        <f>$F117/spotřeba!$C$7</f>
        <v>734.71199999999999</v>
      </c>
      <c r="M117" s="30">
        <f>$E117/spotřeba!$C$8</f>
        <v>728.64</v>
      </c>
      <c r="N117" s="31">
        <f>$F117/spotřeba!$C$8</f>
        <v>881.65440000000001</v>
      </c>
      <c r="O117" s="32">
        <f>$E117/spotřeba!$C$9</f>
        <v>1035</v>
      </c>
      <c r="P117" s="33">
        <f>$F117/spotřeba!$C$9</f>
        <v>1252.3499999999999</v>
      </c>
    </row>
    <row r="118" spans="1:16" x14ac:dyDescent="0.25">
      <c r="A118" s="1" t="str">
        <f t="shared" si="6"/>
        <v>2473074-7</v>
      </c>
      <c r="B118" s="25">
        <v>247307</v>
      </c>
      <c r="C118" s="26" t="s">
        <v>52</v>
      </c>
      <c r="D118" s="27" t="s">
        <v>32</v>
      </c>
      <c r="E118" s="36">
        <v>910.8</v>
      </c>
      <c r="F118" s="37">
        <f t="shared" si="5"/>
        <v>1102.068</v>
      </c>
      <c r="G118" s="32" t="s">
        <v>24</v>
      </c>
      <c r="H118" s="33" t="s">
        <v>24</v>
      </c>
      <c r="I118" s="30" t="s">
        <v>24</v>
      </c>
      <c r="J118" s="31" t="s">
        <v>24</v>
      </c>
      <c r="K118" s="32">
        <f>$E118/spotřeba!$C$7</f>
        <v>607.19999999999993</v>
      </c>
      <c r="L118" s="33">
        <f>$F118/spotřeba!$C$7</f>
        <v>734.71199999999999</v>
      </c>
      <c r="M118" s="30">
        <f>$E118/spotřeba!$C$8</f>
        <v>728.64</v>
      </c>
      <c r="N118" s="31">
        <f>$F118/spotřeba!$C$8</f>
        <v>881.65440000000001</v>
      </c>
      <c r="O118" s="32">
        <f>$E118/spotřeba!$C$9</f>
        <v>1035</v>
      </c>
      <c r="P118" s="33">
        <f>$F118/spotřeba!$C$9</f>
        <v>1252.3499999999999</v>
      </c>
    </row>
    <row r="119" spans="1:16" x14ac:dyDescent="0.25">
      <c r="A119" s="1" t="str">
        <f t="shared" si="6"/>
        <v>2243412-4</v>
      </c>
      <c r="B119" s="25">
        <v>224341</v>
      </c>
      <c r="C119" s="26" t="s">
        <v>79</v>
      </c>
      <c r="D119" s="27" t="s">
        <v>26</v>
      </c>
      <c r="E119" s="36">
        <v>910.8</v>
      </c>
      <c r="F119" s="37">
        <f t="shared" si="5"/>
        <v>1102.068</v>
      </c>
      <c r="G119" s="32">
        <f>$E119/spotřeba!$C$5</f>
        <v>413.99999999999994</v>
      </c>
      <c r="H119" s="207">
        <f>$F119/spotřeba!$C$5</f>
        <v>500.93999999999994</v>
      </c>
      <c r="I119" s="30">
        <f>$E119/spotřeba!$C$6</f>
        <v>505.99999999999994</v>
      </c>
      <c r="J119" s="31">
        <f>$F119/spotřeba!$C$6</f>
        <v>612.26</v>
      </c>
      <c r="K119" s="32">
        <f>$E119/spotřeba!$C$7</f>
        <v>607.19999999999993</v>
      </c>
      <c r="L119" s="207">
        <f>$F119/spotřeba!$C$7</f>
        <v>734.71199999999999</v>
      </c>
      <c r="M119" s="30">
        <f>$E119/spotřeba!$C$8</f>
        <v>728.64</v>
      </c>
      <c r="N119" s="31">
        <f>$F119/spotřeba!$C$8</f>
        <v>881.65440000000001</v>
      </c>
      <c r="O119" s="32">
        <f>$E119/spotřeba!$C$9</f>
        <v>1035</v>
      </c>
      <c r="P119" s="33">
        <f>$F119/spotřeba!$C$9</f>
        <v>1252.3499999999999</v>
      </c>
    </row>
    <row r="120" spans="1:16" x14ac:dyDescent="0.25">
      <c r="A120" s="1" t="str">
        <f t="shared" si="6"/>
        <v>2473414-7</v>
      </c>
      <c r="B120" s="25">
        <v>247341</v>
      </c>
      <c r="C120" s="26" t="s">
        <v>79</v>
      </c>
      <c r="D120" s="27" t="s">
        <v>32</v>
      </c>
      <c r="E120" s="36">
        <v>910.8</v>
      </c>
      <c r="F120" s="37">
        <f t="shared" si="5"/>
        <v>1102.068</v>
      </c>
      <c r="G120" s="32" t="s">
        <v>24</v>
      </c>
      <c r="H120" s="207" t="s">
        <v>24</v>
      </c>
      <c r="I120" s="30" t="s">
        <v>24</v>
      </c>
      <c r="J120" s="31" t="s">
        <v>24</v>
      </c>
      <c r="K120" s="32">
        <f>$E120/spotřeba!$C$7</f>
        <v>607.19999999999993</v>
      </c>
      <c r="L120" s="207">
        <f>$F120/spotřeba!$C$7</f>
        <v>734.71199999999999</v>
      </c>
      <c r="M120" s="30">
        <f>$E120/spotřeba!$C$8</f>
        <v>728.64</v>
      </c>
      <c r="N120" s="31">
        <f>$F120/spotřeba!$C$8</f>
        <v>881.65440000000001</v>
      </c>
      <c r="O120" s="32">
        <f>$E120/spotřeba!$C$9</f>
        <v>1035</v>
      </c>
      <c r="P120" s="33">
        <f>$F120/spotřeba!$C$9</f>
        <v>1252.3499999999999</v>
      </c>
    </row>
    <row r="121" spans="1:16" x14ac:dyDescent="0.25">
      <c r="A121" s="1" t="str">
        <f t="shared" si="6"/>
        <v>2242202-4</v>
      </c>
      <c r="B121" s="35">
        <v>224220</v>
      </c>
      <c r="C121" s="26" t="s">
        <v>46</v>
      </c>
      <c r="D121" s="27" t="s">
        <v>26</v>
      </c>
      <c r="E121" s="36">
        <v>946.8</v>
      </c>
      <c r="F121" s="37">
        <f t="shared" si="5"/>
        <v>1145.6279999999999</v>
      </c>
      <c r="G121" s="32">
        <f>$E121/spotřeba!$C$5</f>
        <v>430.36363636363632</v>
      </c>
      <c r="H121" s="207">
        <f>$F121/spotřeba!$C$5</f>
        <v>520.7399999999999</v>
      </c>
      <c r="I121" s="30">
        <f>$E121/spotřeba!$C$6</f>
        <v>526</v>
      </c>
      <c r="J121" s="31">
        <f>$F121/spotřeba!$C$6</f>
        <v>636.45999999999992</v>
      </c>
      <c r="K121" s="32">
        <f>$E121/spotřeba!$C$7</f>
        <v>631.19999999999993</v>
      </c>
      <c r="L121" s="207">
        <f>$F121/spotřeba!$C$7</f>
        <v>763.75199999999995</v>
      </c>
      <c r="M121" s="30">
        <f>$E121/spotřeba!$C$8</f>
        <v>757.43999999999994</v>
      </c>
      <c r="N121" s="31">
        <f>$F121/spotřeba!$C$8</f>
        <v>916.50239999999997</v>
      </c>
      <c r="O121" s="32">
        <f>$E121/spotřeba!$C$9</f>
        <v>1075.9090909090908</v>
      </c>
      <c r="P121" s="33">
        <f>$F121/spotřeba!$C$9</f>
        <v>1301.8499999999999</v>
      </c>
    </row>
    <row r="122" spans="1:16" x14ac:dyDescent="0.25">
      <c r="A122" s="1" t="str">
        <f t="shared" si="6"/>
        <v>2472204-7</v>
      </c>
      <c r="B122" s="35">
        <v>247220</v>
      </c>
      <c r="C122" s="26" t="s">
        <v>46</v>
      </c>
      <c r="D122" s="27" t="s">
        <v>32</v>
      </c>
      <c r="E122" s="36">
        <v>946.8</v>
      </c>
      <c r="F122" s="37">
        <f t="shared" si="5"/>
        <v>1145.6279999999999</v>
      </c>
      <c r="G122" s="32" t="s">
        <v>24</v>
      </c>
      <c r="H122" s="207" t="s">
        <v>24</v>
      </c>
      <c r="I122" s="30" t="s">
        <v>24</v>
      </c>
      <c r="J122" s="31" t="s">
        <v>24</v>
      </c>
      <c r="K122" s="32">
        <f>$E122/spotřeba!$C$7</f>
        <v>631.19999999999993</v>
      </c>
      <c r="L122" s="207">
        <f>$F122/spotřeba!$C$7</f>
        <v>763.75199999999995</v>
      </c>
      <c r="M122" s="30">
        <f>$E122/spotřeba!$C$8</f>
        <v>757.43999999999994</v>
      </c>
      <c r="N122" s="31">
        <f>$F122/spotřeba!$C$8</f>
        <v>916.50239999999997</v>
      </c>
      <c r="O122" s="32">
        <f>$E122/spotřeba!$C$9</f>
        <v>1075.9090909090908</v>
      </c>
      <c r="P122" s="33">
        <f>$F122/spotřeba!$C$9</f>
        <v>1301.8499999999999</v>
      </c>
    </row>
    <row r="123" spans="1:16" s="40" customFormat="1" x14ac:dyDescent="0.25">
      <c r="A123" s="1" t="str">
        <f t="shared" si="6"/>
        <v>2243092-4</v>
      </c>
      <c r="B123" s="25">
        <v>224309</v>
      </c>
      <c r="C123" s="26" t="s">
        <v>54</v>
      </c>
      <c r="D123" s="27" t="s">
        <v>26</v>
      </c>
      <c r="E123" s="36">
        <v>910.8</v>
      </c>
      <c r="F123" s="37">
        <f t="shared" si="5"/>
        <v>1102.068</v>
      </c>
      <c r="G123" s="32">
        <f>$E123/spotřeba!$C$5</f>
        <v>413.99999999999994</v>
      </c>
      <c r="H123" s="207">
        <f>$F123/spotřeba!$C$5</f>
        <v>500.93999999999994</v>
      </c>
      <c r="I123" s="30">
        <f>$E123/spotřeba!$C$6</f>
        <v>505.99999999999994</v>
      </c>
      <c r="J123" s="31">
        <f>$F123/spotřeba!$C$6</f>
        <v>612.26</v>
      </c>
      <c r="K123" s="32">
        <f>$E123/spotřeba!$C$7</f>
        <v>607.19999999999993</v>
      </c>
      <c r="L123" s="33">
        <f>$F123/spotřeba!$C$7</f>
        <v>734.71199999999999</v>
      </c>
      <c r="M123" s="30">
        <f>$E123/spotřeba!$C$8</f>
        <v>728.64</v>
      </c>
      <c r="N123" s="31">
        <f>$F123/spotřeba!$C$8</f>
        <v>881.65440000000001</v>
      </c>
      <c r="O123" s="32">
        <f>$E123/spotřeba!$C$9</f>
        <v>1035</v>
      </c>
      <c r="P123" s="33">
        <f>$F123/spotřeba!$C$9</f>
        <v>1252.3499999999999</v>
      </c>
    </row>
    <row r="124" spans="1:16" s="40" customFormat="1" x14ac:dyDescent="0.25">
      <c r="A124" s="1" t="str">
        <f t="shared" si="6"/>
        <v>2473094-7</v>
      </c>
      <c r="B124" s="25">
        <v>247309</v>
      </c>
      <c r="C124" s="26" t="s">
        <v>54</v>
      </c>
      <c r="D124" s="27" t="s">
        <v>32</v>
      </c>
      <c r="E124" s="36">
        <v>910.8</v>
      </c>
      <c r="F124" s="37">
        <f t="shared" si="5"/>
        <v>1102.068</v>
      </c>
      <c r="G124" s="32" t="s">
        <v>24</v>
      </c>
      <c r="H124" s="33" t="s">
        <v>24</v>
      </c>
      <c r="I124" s="30" t="s">
        <v>24</v>
      </c>
      <c r="J124" s="31" t="s">
        <v>24</v>
      </c>
      <c r="K124" s="32">
        <f>$E124/spotřeba!$C$7</f>
        <v>607.19999999999993</v>
      </c>
      <c r="L124" s="33">
        <f>$F124/spotřeba!$C$7</f>
        <v>734.71199999999999</v>
      </c>
      <c r="M124" s="30">
        <f>$E124/spotřeba!$C$8</f>
        <v>728.64</v>
      </c>
      <c r="N124" s="31">
        <f>$F124/spotřeba!$C$8</f>
        <v>881.65440000000001</v>
      </c>
      <c r="O124" s="32">
        <f>$E124/spotřeba!$C$9</f>
        <v>1035</v>
      </c>
      <c r="P124" s="33">
        <f>$F124/spotřeba!$C$9</f>
        <v>1252.3499999999999</v>
      </c>
    </row>
    <row r="125" spans="1:16" s="40" customFormat="1" x14ac:dyDescent="0.25">
      <c r="A125" s="1" t="str">
        <f t="shared" si="6"/>
        <v>2243152-4</v>
      </c>
      <c r="B125" s="25">
        <v>224315</v>
      </c>
      <c r="C125" s="26" t="s">
        <v>59</v>
      </c>
      <c r="D125" s="27" t="s">
        <v>26</v>
      </c>
      <c r="E125" s="36">
        <v>910.8</v>
      </c>
      <c r="F125" s="37">
        <f t="shared" si="5"/>
        <v>1102.068</v>
      </c>
      <c r="G125" s="32">
        <f>$E125/spotřeba!$C$5</f>
        <v>413.99999999999994</v>
      </c>
      <c r="H125" s="207">
        <f>$F125/spotřeba!$C$5</f>
        <v>500.93999999999994</v>
      </c>
      <c r="I125" s="30">
        <f>$E125/spotřeba!$C$6</f>
        <v>505.99999999999994</v>
      </c>
      <c r="J125" s="31">
        <f>$F125/spotřeba!$C$6</f>
        <v>612.26</v>
      </c>
      <c r="K125" s="32">
        <f>$E125/spotřeba!$C$7</f>
        <v>607.19999999999993</v>
      </c>
      <c r="L125" s="207">
        <f>$F125/spotřeba!$C$7</f>
        <v>734.71199999999999</v>
      </c>
      <c r="M125" s="30">
        <f>$E125/spotřeba!$C$8</f>
        <v>728.64</v>
      </c>
      <c r="N125" s="31">
        <f>$F125/spotřeba!$C$8</f>
        <v>881.65440000000001</v>
      </c>
      <c r="O125" s="32">
        <f>$E125/spotřeba!$C$9</f>
        <v>1035</v>
      </c>
      <c r="P125" s="33">
        <f>$F125/spotřeba!$C$9</f>
        <v>1252.3499999999999</v>
      </c>
    </row>
    <row r="126" spans="1:16" s="40" customFormat="1" x14ac:dyDescent="0.25">
      <c r="A126" s="1" t="str">
        <f t="shared" si="6"/>
        <v>2473154-7</v>
      </c>
      <c r="B126" s="25">
        <v>247315</v>
      </c>
      <c r="C126" s="26" t="s">
        <v>59</v>
      </c>
      <c r="D126" s="27" t="s">
        <v>32</v>
      </c>
      <c r="E126" s="36">
        <v>910.8</v>
      </c>
      <c r="F126" s="37">
        <f t="shared" si="5"/>
        <v>1102.068</v>
      </c>
      <c r="G126" s="32" t="s">
        <v>24</v>
      </c>
      <c r="H126" s="207" t="s">
        <v>24</v>
      </c>
      <c r="I126" s="30" t="s">
        <v>24</v>
      </c>
      <c r="J126" s="31" t="s">
        <v>24</v>
      </c>
      <c r="K126" s="32">
        <f>$E126/spotřeba!$C$7</f>
        <v>607.19999999999993</v>
      </c>
      <c r="L126" s="207">
        <f>$F126/spotřeba!$C$7</f>
        <v>734.71199999999999</v>
      </c>
      <c r="M126" s="30">
        <f>$E126/spotřeba!$C$8</f>
        <v>728.64</v>
      </c>
      <c r="N126" s="31">
        <f>$F126/spotřeba!$C$8</f>
        <v>881.65440000000001</v>
      </c>
      <c r="O126" s="32">
        <f>$E126/spotřeba!$C$9</f>
        <v>1035</v>
      </c>
      <c r="P126" s="33">
        <f>$F126/spotřeba!$C$9</f>
        <v>1252.3499999999999</v>
      </c>
    </row>
    <row r="127" spans="1:16" s="40" customFormat="1" x14ac:dyDescent="0.25">
      <c r="A127" s="1" t="str">
        <f t="shared" si="6"/>
        <v>2243112-4</v>
      </c>
      <c r="B127" s="25">
        <v>224311</v>
      </c>
      <c r="C127" s="26" t="s">
        <v>56</v>
      </c>
      <c r="D127" s="27" t="s">
        <v>26</v>
      </c>
      <c r="E127" s="36">
        <v>910.8</v>
      </c>
      <c r="F127" s="37">
        <f t="shared" si="5"/>
        <v>1102.068</v>
      </c>
      <c r="G127" s="32">
        <f>$E127/spotřeba!$C$5</f>
        <v>413.99999999999994</v>
      </c>
      <c r="H127" s="207">
        <f>$F127/spotřeba!$C$5</f>
        <v>500.93999999999994</v>
      </c>
      <c r="I127" s="30">
        <f>$E127/spotřeba!$C$6</f>
        <v>505.99999999999994</v>
      </c>
      <c r="J127" s="31">
        <f>$F127/spotřeba!$C$6</f>
        <v>612.26</v>
      </c>
      <c r="K127" s="32">
        <f>$E127/spotřeba!$C$7</f>
        <v>607.19999999999993</v>
      </c>
      <c r="L127" s="33">
        <f>$F127/spotřeba!$C$7</f>
        <v>734.71199999999999</v>
      </c>
      <c r="M127" s="30">
        <f>$E127/spotřeba!$C$8</f>
        <v>728.64</v>
      </c>
      <c r="N127" s="31">
        <f>$F127/spotřeba!$C$8</f>
        <v>881.65440000000001</v>
      </c>
      <c r="O127" s="32">
        <f>$E127/spotřeba!$C$9</f>
        <v>1035</v>
      </c>
      <c r="P127" s="33">
        <f>$F127/spotřeba!$C$9</f>
        <v>1252.3499999999999</v>
      </c>
    </row>
    <row r="128" spans="1:16" s="40" customFormat="1" x14ac:dyDescent="0.25">
      <c r="A128" s="1" t="str">
        <f t="shared" si="6"/>
        <v>2473114-7</v>
      </c>
      <c r="B128" s="25">
        <v>247311</v>
      </c>
      <c r="C128" s="26" t="s">
        <v>56</v>
      </c>
      <c r="D128" s="27" t="s">
        <v>32</v>
      </c>
      <c r="E128" s="36">
        <v>910.8</v>
      </c>
      <c r="F128" s="37">
        <f t="shared" si="5"/>
        <v>1102.068</v>
      </c>
      <c r="G128" s="32" t="s">
        <v>24</v>
      </c>
      <c r="H128" s="33" t="s">
        <v>24</v>
      </c>
      <c r="I128" s="30" t="s">
        <v>24</v>
      </c>
      <c r="J128" s="31" t="s">
        <v>24</v>
      </c>
      <c r="K128" s="32">
        <f>$E128/spotřeba!$C$7</f>
        <v>607.19999999999993</v>
      </c>
      <c r="L128" s="33">
        <f>$F128/spotřeba!$C$7</f>
        <v>734.71199999999999</v>
      </c>
      <c r="M128" s="30">
        <f>$E128/spotřeba!$C$8</f>
        <v>728.64</v>
      </c>
      <c r="N128" s="31">
        <f>$F128/spotřeba!$C$8</f>
        <v>881.65440000000001</v>
      </c>
      <c r="O128" s="32">
        <f>$E128/spotřeba!$C$9</f>
        <v>1035</v>
      </c>
      <c r="P128" s="33">
        <f>$F128/spotřeba!$C$9</f>
        <v>1252.3499999999999</v>
      </c>
    </row>
    <row r="129" spans="1:16" s="40" customFormat="1" x14ac:dyDescent="0.25">
      <c r="A129" s="1" t="str">
        <f t="shared" si="6"/>
        <v>2242022-4</v>
      </c>
      <c r="B129" s="25">
        <v>224202</v>
      </c>
      <c r="C129" s="26" t="s">
        <v>33</v>
      </c>
      <c r="D129" s="27" t="s">
        <v>26</v>
      </c>
      <c r="E129" s="36">
        <v>832.8</v>
      </c>
      <c r="F129" s="37">
        <f t="shared" si="5"/>
        <v>1007.6879999999999</v>
      </c>
      <c r="G129" s="32">
        <f>$E129/spotřeba!$C$5</f>
        <v>378.5454545454545</v>
      </c>
      <c r="H129" s="207">
        <f>$F129/spotřeba!$C$5</f>
        <v>458.03999999999991</v>
      </c>
      <c r="I129" s="30">
        <f>$E129/spotřeba!$C$6</f>
        <v>462.66666666666663</v>
      </c>
      <c r="J129" s="31">
        <f>$F129/spotřeba!$C$6</f>
        <v>559.8266666666666</v>
      </c>
      <c r="K129" s="32">
        <f>$E129/spotřeba!$C$7</f>
        <v>555.19999999999993</v>
      </c>
      <c r="L129" s="33">
        <f>$F129/spotřeba!$C$7</f>
        <v>671.79199999999992</v>
      </c>
      <c r="M129" s="30">
        <f>$E129/spotřeba!$C$8</f>
        <v>666.24</v>
      </c>
      <c r="N129" s="31">
        <f>$F129/spotřeba!$C$8</f>
        <v>806.15039999999988</v>
      </c>
      <c r="O129" s="32">
        <f>$E129/spotřeba!$C$9</f>
        <v>946.36363636363626</v>
      </c>
      <c r="P129" s="33">
        <f>$F129/spotřeba!$C$9</f>
        <v>1145.0999999999999</v>
      </c>
    </row>
    <row r="130" spans="1:16" s="40" customFormat="1" x14ac:dyDescent="0.25">
      <c r="A130" s="1" t="str">
        <f t="shared" si="6"/>
        <v>2472024-7</v>
      </c>
      <c r="B130" s="25">
        <v>247202</v>
      </c>
      <c r="C130" s="26" t="s">
        <v>33</v>
      </c>
      <c r="D130" s="27" t="s">
        <v>32</v>
      </c>
      <c r="E130" s="36">
        <v>832.8</v>
      </c>
      <c r="F130" s="37">
        <f t="shared" si="5"/>
        <v>1007.6879999999999</v>
      </c>
      <c r="G130" s="32" t="s">
        <v>24</v>
      </c>
      <c r="H130" s="33" t="s">
        <v>24</v>
      </c>
      <c r="I130" s="30" t="s">
        <v>24</v>
      </c>
      <c r="J130" s="31" t="s">
        <v>24</v>
      </c>
      <c r="K130" s="32">
        <f>$E130/spotřeba!$C$7</f>
        <v>555.19999999999993</v>
      </c>
      <c r="L130" s="33">
        <f>$F130/spotřeba!$C$7</f>
        <v>671.79199999999992</v>
      </c>
      <c r="M130" s="30">
        <f>$E130/spotřeba!$C$8</f>
        <v>666.24</v>
      </c>
      <c r="N130" s="31">
        <f>$F130/spotřeba!$C$8</f>
        <v>806.15039999999988</v>
      </c>
      <c r="O130" s="32">
        <f>$E130/spotřeba!$C$9</f>
        <v>946.36363636363626</v>
      </c>
      <c r="P130" s="33">
        <f>$F130/spotřeba!$C$9</f>
        <v>1145.0999999999999</v>
      </c>
    </row>
    <row r="131" spans="1:16" s="40" customFormat="1" x14ac:dyDescent="0.25">
      <c r="A131" s="1" t="str">
        <f t="shared" si="6"/>
        <v>2242122-4</v>
      </c>
      <c r="B131" s="25">
        <v>224212</v>
      </c>
      <c r="C131" s="26" t="s">
        <v>42</v>
      </c>
      <c r="D131" s="27" t="s">
        <v>26</v>
      </c>
      <c r="E131" s="36">
        <v>862.8</v>
      </c>
      <c r="F131" s="37">
        <f t="shared" si="5"/>
        <v>1043.9879999999998</v>
      </c>
      <c r="G131" s="32">
        <f>$E131/spotřeba!$C$5</f>
        <v>392.18181818181813</v>
      </c>
      <c r="H131" s="207">
        <f>$F131/spotřeba!$C$5</f>
        <v>474.53999999999991</v>
      </c>
      <c r="I131" s="30">
        <f>$E131/spotřeba!$C$6</f>
        <v>479.33333333333331</v>
      </c>
      <c r="J131" s="31">
        <f>$F131/spotřeba!$C$6</f>
        <v>579.99333333333323</v>
      </c>
      <c r="K131" s="32">
        <f>$E131/spotřeba!$C$7</f>
        <v>575.19999999999993</v>
      </c>
      <c r="L131" s="33">
        <f>$F131/spotřeba!$C$7</f>
        <v>695.99199999999985</v>
      </c>
      <c r="M131" s="30">
        <f>$E131/spotřeba!$C$8</f>
        <v>690.24</v>
      </c>
      <c r="N131" s="31">
        <f>$F131/spotřeba!$C$8</f>
        <v>835.19039999999984</v>
      </c>
      <c r="O131" s="32">
        <f>$E131/spotřeba!$C$9</f>
        <v>980.45454545454538</v>
      </c>
      <c r="P131" s="33">
        <f>$F131/spotřeba!$C$9</f>
        <v>1186.3499999999999</v>
      </c>
    </row>
    <row r="132" spans="1:16" s="40" customFormat="1" x14ac:dyDescent="0.25">
      <c r="A132" s="1" t="str">
        <f t="shared" si="6"/>
        <v>2472124-7</v>
      </c>
      <c r="B132" s="25">
        <v>247212</v>
      </c>
      <c r="C132" s="26" t="s">
        <v>42</v>
      </c>
      <c r="D132" s="27" t="s">
        <v>32</v>
      </c>
      <c r="E132" s="36">
        <v>862.8</v>
      </c>
      <c r="F132" s="37">
        <f t="shared" si="5"/>
        <v>1043.9879999999998</v>
      </c>
      <c r="G132" s="32" t="s">
        <v>24</v>
      </c>
      <c r="H132" s="33" t="s">
        <v>24</v>
      </c>
      <c r="I132" s="30" t="s">
        <v>24</v>
      </c>
      <c r="J132" s="31" t="s">
        <v>24</v>
      </c>
      <c r="K132" s="32">
        <f>$E132/spotřeba!$C$7</f>
        <v>575.19999999999993</v>
      </c>
      <c r="L132" s="33">
        <f>$F132/spotřeba!$C$7</f>
        <v>695.99199999999985</v>
      </c>
      <c r="M132" s="30">
        <f>$E132/spotřeba!$C$8</f>
        <v>690.24</v>
      </c>
      <c r="N132" s="31">
        <f>$F132/spotřeba!$C$8</f>
        <v>835.19039999999984</v>
      </c>
      <c r="O132" s="32">
        <f>$E132/spotřeba!$C$9</f>
        <v>980.45454545454538</v>
      </c>
      <c r="P132" s="33">
        <f>$F132/spotřeba!$C$9</f>
        <v>1186.3499999999999</v>
      </c>
    </row>
    <row r="133" spans="1:16" s="40" customFormat="1" x14ac:dyDescent="0.25">
      <c r="A133" s="1" t="str">
        <f t="shared" si="6"/>
        <v>2243142-4</v>
      </c>
      <c r="B133" s="25">
        <v>224314</v>
      </c>
      <c r="C133" s="26" t="s">
        <v>58</v>
      </c>
      <c r="D133" s="27" t="s">
        <v>26</v>
      </c>
      <c r="E133" s="36">
        <v>910.8</v>
      </c>
      <c r="F133" s="37">
        <f t="shared" ref="F133:F140" si="7">E133*1.21</f>
        <v>1102.068</v>
      </c>
      <c r="G133" s="32">
        <f>$E133/spotřeba!$C$5</f>
        <v>413.99999999999994</v>
      </c>
      <c r="H133" s="207">
        <f>$F133/spotřeba!$C$5</f>
        <v>500.93999999999994</v>
      </c>
      <c r="I133" s="30">
        <f>$E133/spotřeba!$C$6</f>
        <v>505.99999999999994</v>
      </c>
      <c r="J133" s="31">
        <f>$F133/spotřeba!$C$6</f>
        <v>612.26</v>
      </c>
      <c r="K133" s="32">
        <f>$E133/spotřeba!$C$7</f>
        <v>607.19999999999993</v>
      </c>
      <c r="L133" s="207">
        <f>$F133/spotřeba!$C$7</f>
        <v>734.71199999999999</v>
      </c>
      <c r="M133" s="30">
        <f>$E133/spotřeba!$C$8</f>
        <v>728.64</v>
      </c>
      <c r="N133" s="31">
        <f>$F133/spotřeba!$C$8</f>
        <v>881.65440000000001</v>
      </c>
      <c r="O133" s="32">
        <f>$E133/spotřeba!$C$9</f>
        <v>1035</v>
      </c>
      <c r="P133" s="33">
        <f>$F133/spotřeba!$C$9</f>
        <v>1252.3499999999999</v>
      </c>
    </row>
    <row r="134" spans="1:16" s="40" customFormat="1" x14ac:dyDescent="0.25">
      <c r="A134" s="1" t="str">
        <f t="shared" si="6"/>
        <v>2473144-7</v>
      </c>
      <c r="B134" s="25">
        <v>247314</v>
      </c>
      <c r="C134" s="34" t="s">
        <v>58</v>
      </c>
      <c r="D134" s="27" t="s">
        <v>32</v>
      </c>
      <c r="E134" s="36">
        <v>910.8</v>
      </c>
      <c r="F134" s="29">
        <f t="shared" si="7"/>
        <v>1102.068</v>
      </c>
      <c r="G134" s="30" t="s">
        <v>24</v>
      </c>
      <c r="H134" s="31" t="s">
        <v>24</v>
      </c>
      <c r="I134" s="32" t="s">
        <v>24</v>
      </c>
      <c r="J134" s="207" t="s">
        <v>24</v>
      </c>
      <c r="K134" s="30">
        <f>$E134/spotřeba!$C$7</f>
        <v>607.19999999999993</v>
      </c>
      <c r="L134" s="31">
        <f>$F134/spotřeba!$C$7</f>
        <v>734.71199999999999</v>
      </c>
      <c r="M134" s="32">
        <f>$E134/spotřeba!$C$8</f>
        <v>728.64</v>
      </c>
      <c r="N134" s="207">
        <f>$F134/spotřeba!$C$8</f>
        <v>881.65440000000001</v>
      </c>
      <c r="O134" s="30">
        <f>$E134/spotřeba!$C$9</f>
        <v>1035</v>
      </c>
      <c r="P134" s="33">
        <f>$F134/spotřeba!$C$9</f>
        <v>1252.3499999999999</v>
      </c>
    </row>
    <row r="135" spans="1:16" s="40" customFormat="1" x14ac:dyDescent="0.25">
      <c r="A135" s="1" t="str">
        <f t="shared" si="6"/>
        <v>2243562-4</v>
      </c>
      <c r="B135" s="25">
        <v>224356</v>
      </c>
      <c r="C135" s="34" t="s">
        <v>89</v>
      </c>
      <c r="D135" s="27" t="s">
        <v>26</v>
      </c>
      <c r="E135" s="36">
        <v>910.8</v>
      </c>
      <c r="F135" s="29">
        <f t="shared" si="7"/>
        <v>1102.068</v>
      </c>
      <c r="G135" s="30">
        <f>$E135/spotřeba!$C$5</f>
        <v>413.99999999999994</v>
      </c>
      <c r="H135" s="31">
        <f>$F135/spotřeba!$C$5</f>
        <v>500.93999999999994</v>
      </c>
      <c r="I135" s="32">
        <f>$E135/spotřeba!$C$6</f>
        <v>505.99999999999994</v>
      </c>
      <c r="J135" s="207">
        <f>$F135/spotřeba!$C$6</f>
        <v>612.26</v>
      </c>
      <c r="K135" s="30">
        <f>$E135/spotřeba!$C$7</f>
        <v>607.19999999999993</v>
      </c>
      <c r="L135" s="31">
        <f>$F135/spotřeba!$C$7</f>
        <v>734.71199999999999</v>
      </c>
      <c r="M135" s="32">
        <f>$E135/spotřeba!$C$8</f>
        <v>728.64</v>
      </c>
      <c r="N135" s="207">
        <f>$F135/spotřeba!$C$8</f>
        <v>881.65440000000001</v>
      </c>
      <c r="O135" s="30">
        <f>$E135/spotřeba!$C$9</f>
        <v>1035</v>
      </c>
      <c r="P135" s="33">
        <f>$F135/spotřeba!$C$9</f>
        <v>1252.3499999999999</v>
      </c>
    </row>
    <row r="136" spans="1:16" s="40" customFormat="1" x14ac:dyDescent="0.25">
      <c r="A136" s="1" t="str">
        <f t="shared" si="6"/>
        <v>2473564-7</v>
      </c>
      <c r="B136" s="25">
        <v>247356</v>
      </c>
      <c r="C136" s="26" t="s">
        <v>89</v>
      </c>
      <c r="D136" s="27" t="s">
        <v>32</v>
      </c>
      <c r="E136" s="36">
        <v>910.8</v>
      </c>
      <c r="F136" s="37">
        <f t="shared" si="7"/>
        <v>1102.068</v>
      </c>
      <c r="G136" s="32" t="s">
        <v>24</v>
      </c>
      <c r="H136" s="33" t="s">
        <v>24</v>
      </c>
      <c r="I136" s="30" t="s">
        <v>24</v>
      </c>
      <c r="J136" s="31" t="s">
        <v>24</v>
      </c>
      <c r="K136" s="32">
        <f>$E136/spotřeba!$C$7</f>
        <v>607.19999999999993</v>
      </c>
      <c r="L136" s="33">
        <f>$F136/spotřeba!$C$7</f>
        <v>734.71199999999999</v>
      </c>
      <c r="M136" s="30">
        <f>$E136/spotřeba!$C$8</f>
        <v>728.64</v>
      </c>
      <c r="N136" s="31">
        <f>$F136/spotřeba!$C$8</f>
        <v>881.65440000000001</v>
      </c>
      <c r="O136" s="32">
        <f>$E136/spotřeba!$C$9</f>
        <v>1035</v>
      </c>
      <c r="P136" s="33">
        <f>$F136/spotřeba!$C$9</f>
        <v>1252.3499999999999</v>
      </c>
    </row>
    <row r="137" spans="1:16" s="40" customFormat="1" x14ac:dyDescent="0.25">
      <c r="A137" s="1" t="str">
        <f t="shared" si="6"/>
        <v>2242082-4</v>
      </c>
      <c r="B137" s="25">
        <v>224208</v>
      </c>
      <c r="C137" s="26" t="s">
        <v>38</v>
      </c>
      <c r="D137" s="27" t="s">
        <v>26</v>
      </c>
      <c r="E137" s="36">
        <v>844.8</v>
      </c>
      <c r="F137" s="37">
        <f t="shared" si="7"/>
        <v>1022.208</v>
      </c>
      <c r="G137" s="32">
        <f>$E137/spotřeba!$C$5</f>
        <v>383.99999999999994</v>
      </c>
      <c r="H137" s="207">
        <f>$F137/spotřeba!$C$5</f>
        <v>464.63999999999993</v>
      </c>
      <c r="I137" s="30">
        <f>$E137/spotřeba!$C$6</f>
        <v>469.33333333333331</v>
      </c>
      <c r="J137" s="31">
        <f>$F137/spotřeba!$C$6</f>
        <v>567.89333333333332</v>
      </c>
      <c r="K137" s="32">
        <f>$E137/spotřeba!$C$7</f>
        <v>563.19999999999993</v>
      </c>
      <c r="L137" s="207">
        <f>$F137/spotřeba!$C$7</f>
        <v>681.47199999999998</v>
      </c>
      <c r="M137" s="30">
        <f>$E137/spotřeba!$C$8</f>
        <v>675.83999999999992</v>
      </c>
      <c r="N137" s="31">
        <f>$F137/spotřeba!$C$8</f>
        <v>817.76639999999998</v>
      </c>
      <c r="O137" s="32">
        <f>$E137/spotřeba!$C$9</f>
        <v>960</v>
      </c>
      <c r="P137" s="33">
        <f>$F137/spotřeba!$C$9</f>
        <v>1161.5999999999999</v>
      </c>
    </row>
    <row r="138" spans="1:16" s="40" customFormat="1" x14ac:dyDescent="0.25">
      <c r="A138" s="1" t="str">
        <f t="shared" si="6"/>
        <v>2472084-7</v>
      </c>
      <c r="B138" s="25">
        <v>247208</v>
      </c>
      <c r="C138" s="26" t="s">
        <v>38</v>
      </c>
      <c r="D138" s="27" t="s">
        <v>32</v>
      </c>
      <c r="E138" s="36">
        <v>844.8</v>
      </c>
      <c r="F138" s="37">
        <f t="shared" si="7"/>
        <v>1022.208</v>
      </c>
      <c r="G138" s="32" t="s">
        <v>24</v>
      </c>
      <c r="H138" s="33" t="s">
        <v>24</v>
      </c>
      <c r="I138" s="30" t="s">
        <v>24</v>
      </c>
      <c r="J138" s="31" t="s">
        <v>24</v>
      </c>
      <c r="K138" s="32">
        <f>$E138/spotřeba!$C$7</f>
        <v>563.19999999999993</v>
      </c>
      <c r="L138" s="33">
        <f>$F138/spotřeba!$C$7</f>
        <v>681.47199999999998</v>
      </c>
      <c r="M138" s="30">
        <f>$E138/spotřeba!$C$8</f>
        <v>675.83999999999992</v>
      </c>
      <c r="N138" s="31">
        <f>$F138/spotřeba!$C$8</f>
        <v>817.76639999999998</v>
      </c>
      <c r="O138" s="32">
        <f>$E138/spotřeba!$C$9</f>
        <v>960</v>
      </c>
      <c r="P138" s="33">
        <f>$F138/spotřeba!$C$9</f>
        <v>1161.5999999999999</v>
      </c>
    </row>
    <row r="139" spans="1:16" s="40" customFormat="1" x14ac:dyDescent="0.25">
      <c r="A139" s="1" t="str">
        <f t="shared" si="6"/>
        <v>2243472-4</v>
      </c>
      <c r="B139" s="25">
        <v>224347</v>
      </c>
      <c r="C139" s="26" t="s">
        <v>81</v>
      </c>
      <c r="D139" s="27" t="s">
        <v>26</v>
      </c>
      <c r="E139" s="36">
        <v>910.8</v>
      </c>
      <c r="F139" s="37">
        <f t="shared" si="7"/>
        <v>1102.068</v>
      </c>
      <c r="G139" s="32">
        <f>$E139/spotřeba!$C$5</f>
        <v>413.99999999999994</v>
      </c>
      <c r="H139" s="207">
        <f>$F139/spotřeba!$C$5</f>
        <v>500.93999999999994</v>
      </c>
      <c r="I139" s="30">
        <f>$E139/spotřeba!$C$6</f>
        <v>505.99999999999994</v>
      </c>
      <c r="J139" s="31">
        <f>$F139/spotřeba!$C$6</f>
        <v>612.26</v>
      </c>
      <c r="K139" s="32">
        <f>$E139/spotřeba!$C$7</f>
        <v>607.19999999999993</v>
      </c>
      <c r="L139" s="207">
        <f>$F139/spotřeba!$C$7</f>
        <v>734.71199999999999</v>
      </c>
      <c r="M139" s="30">
        <f>$E139/spotřeba!$C$8</f>
        <v>728.64</v>
      </c>
      <c r="N139" s="31">
        <f>$F139/spotřeba!$C$8</f>
        <v>881.65440000000001</v>
      </c>
      <c r="O139" s="32">
        <f>$E139/spotřeba!$C$9</f>
        <v>1035</v>
      </c>
      <c r="P139" s="33">
        <f>$F139/spotřeba!$C$9</f>
        <v>1252.3499999999999</v>
      </c>
    </row>
    <row r="140" spans="1:16" s="40" customFormat="1" ht="16.5" thickBot="1" x14ac:dyDescent="0.3">
      <c r="A140" s="1" t="str">
        <f t="shared" si="6"/>
        <v>2473474-7</v>
      </c>
      <c r="B140" s="41">
        <v>247347</v>
      </c>
      <c r="C140" s="42" t="s">
        <v>81</v>
      </c>
      <c r="D140" s="43" t="s">
        <v>32</v>
      </c>
      <c r="E140" s="44">
        <v>910.8</v>
      </c>
      <c r="F140" s="45">
        <f t="shared" si="7"/>
        <v>1102.068</v>
      </c>
      <c r="G140" s="46" t="s">
        <v>24</v>
      </c>
      <c r="H140" s="208" t="s">
        <v>24</v>
      </c>
      <c r="I140" s="48" t="s">
        <v>24</v>
      </c>
      <c r="J140" s="49" t="s">
        <v>24</v>
      </c>
      <c r="K140" s="46">
        <f>$E140/spotřeba!$C$7</f>
        <v>607.19999999999993</v>
      </c>
      <c r="L140" s="208">
        <f>$F140/spotřeba!$C$7</f>
        <v>734.71199999999999</v>
      </c>
      <c r="M140" s="48">
        <f>$E140/spotřeba!$C$8</f>
        <v>728.64</v>
      </c>
      <c r="N140" s="49">
        <f>$F140/spotřeba!$C$8</f>
        <v>881.65440000000001</v>
      </c>
      <c r="O140" s="46">
        <f>$E140/spotřeba!$C$9</f>
        <v>1035</v>
      </c>
      <c r="P140" s="208">
        <f>$F140/spotřeba!$C$9</f>
        <v>1252.3499999999999</v>
      </c>
    </row>
    <row r="141" spans="1:16" s="40" customFormat="1" x14ac:dyDescent="0.25">
      <c r="B141" s="52"/>
      <c r="C141" s="38"/>
      <c r="D141" s="39"/>
      <c r="E141" s="50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</row>
    <row r="142" spans="1:16" s="40" customFormat="1" x14ac:dyDescent="0.25">
      <c r="B142" s="52"/>
      <c r="C142" s="38"/>
      <c r="D142" s="39"/>
      <c r="E142" s="50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</row>
    <row r="143" spans="1:16" s="40" customFormat="1" x14ac:dyDescent="0.25">
      <c r="B143" s="52"/>
      <c r="C143" s="38"/>
      <c r="D143" s="39"/>
      <c r="E143" s="50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</row>
    <row r="144" spans="1:16" s="40" customFormat="1" x14ac:dyDescent="0.25">
      <c r="B144" s="52"/>
      <c r="C144" s="38"/>
      <c r="D144" s="39"/>
      <c r="E144" s="50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</row>
    <row r="145" spans="2:16" s="40" customFormat="1" x14ac:dyDescent="0.25">
      <c r="B145" s="52"/>
      <c r="C145" s="38"/>
      <c r="D145" s="39"/>
      <c r="E145" s="50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</row>
    <row r="146" spans="2:16" s="40" customFormat="1" x14ac:dyDescent="0.25">
      <c r="B146" s="52"/>
      <c r="C146" s="38"/>
      <c r="D146" s="39"/>
      <c r="E146" s="50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</row>
    <row r="147" spans="2:16" s="40" customFormat="1" x14ac:dyDescent="0.25">
      <c r="B147" s="52"/>
      <c r="C147" s="38"/>
      <c r="D147" s="39"/>
      <c r="E147" s="50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</row>
    <row r="148" spans="2:16" s="40" customFormat="1" x14ac:dyDescent="0.25">
      <c r="B148" s="52"/>
      <c r="C148" s="38"/>
      <c r="D148" s="39"/>
      <c r="E148" s="50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</row>
    <row r="149" spans="2:16" s="40" customFormat="1" x14ac:dyDescent="0.25">
      <c r="B149" s="52"/>
      <c r="C149" s="38"/>
      <c r="D149" s="39"/>
      <c r="E149" s="50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</row>
    <row r="150" spans="2:16" s="40" customFormat="1" x14ac:dyDescent="0.25">
      <c r="B150" s="52"/>
      <c r="C150" s="38"/>
      <c r="D150" s="39"/>
      <c r="E150" s="50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</row>
    <row r="151" spans="2:16" s="40" customFormat="1" x14ac:dyDescent="0.25">
      <c r="B151" s="52"/>
      <c r="C151" s="38"/>
      <c r="D151" s="39"/>
      <c r="E151" s="50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</row>
    <row r="152" spans="2:16" s="40" customFormat="1" x14ac:dyDescent="0.25">
      <c r="B152" s="52"/>
      <c r="C152" s="38"/>
      <c r="D152" s="39"/>
      <c r="E152" s="50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</row>
    <row r="153" spans="2:16" s="40" customFormat="1" x14ac:dyDescent="0.25">
      <c r="B153" s="52"/>
      <c r="C153" s="38"/>
      <c r="D153" s="39"/>
      <c r="E153" s="50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</row>
    <row r="154" spans="2:16" s="40" customFormat="1" x14ac:dyDescent="0.25">
      <c r="B154" s="52"/>
      <c r="C154" s="38"/>
      <c r="D154" s="39"/>
      <c r="E154" s="50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</row>
    <row r="155" spans="2:16" s="40" customFormat="1" x14ac:dyDescent="0.25">
      <c r="B155" s="52"/>
      <c r="C155" s="38"/>
      <c r="D155" s="39"/>
      <c r="E155" s="50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</row>
    <row r="156" spans="2:16" s="40" customFormat="1" x14ac:dyDescent="0.25">
      <c r="B156" s="52"/>
      <c r="C156" s="38"/>
      <c r="D156" s="39"/>
      <c r="E156" s="50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</row>
    <row r="157" spans="2:16" s="40" customFormat="1" x14ac:dyDescent="0.25">
      <c r="B157" s="52"/>
      <c r="C157" s="38"/>
      <c r="D157" s="39"/>
      <c r="E157" s="50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</row>
    <row r="158" spans="2:16" s="40" customFormat="1" x14ac:dyDescent="0.25">
      <c r="B158" s="52"/>
      <c r="C158" s="38"/>
      <c r="D158" s="39"/>
      <c r="E158" s="50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</row>
    <row r="159" spans="2:16" s="40" customFormat="1" x14ac:dyDescent="0.25">
      <c r="B159" s="52"/>
      <c r="C159" s="38"/>
      <c r="D159" s="39"/>
      <c r="E159" s="50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</row>
    <row r="160" spans="2:16" s="40" customFormat="1" x14ac:dyDescent="0.25">
      <c r="B160" s="52"/>
      <c r="C160" s="38"/>
      <c r="D160" s="39"/>
      <c r="E160" s="50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</row>
    <row r="161" spans="2:16" s="40" customFormat="1" x14ac:dyDescent="0.25">
      <c r="B161" s="52"/>
      <c r="C161" s="38"/>
      <c r="D161" s="39"/>
      <c r="E161" s="50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</row>
    <row r="162" spans="2:16" s="40" customFormat="1" x14ac:dyDescent="0.25">
      <c r="B162" s="52"/>
      <c r="C162" s="38"/>
      <c r="D162" s="39"/>
      <c r="E162" s="50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</row>
    <row r="163" spans="2:16" s="40" customFormat="1" x14ac:dyDescent="0.25">
      <c r="B163" s="52"/>
      <c r="C163" s="38"/>
      <c r="D163" s="39"/>
      <c r="E163" s="50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</row>
    <row r="164" spans="2:16" s="40" customFormat="1" x14ac:dyDescent="0.25">
      <c r="B164" s="52"/>
      <c r="C164" s="38"/>
      <c r="D164" s="39"/>
      <c r="E164" s="50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</row>
    <row r="165" spans="2:16" s="40" customFormat="1" x14ac:dyDescent="0.25">
      <c r="B165" s="52"/>
      <c r="C165" s="38"/>
      <c r="D165" s="39"/>
      <c r="E165" s="50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</row>
    <row r="166" spans="2:16" s="40" customFormat="1" x14ac:dyDescent="0.25">
      <c r="B166" s="52"/>
      <c r="C166" s="38"/>
      <c r="D166" s="39"/>
      <c r="E166" s="50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</row>
    <row r="167" spans="2:16" s="40" customFormat="1" x14ac:dyDescent="0.25">
      <c r="B167" s="52"/>
      <c r="C167" s="38"/>
      <c r="D167" s="39"/>
      <c r="E167" s="50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</row>
    <row r="168" spans="2:16" s="40" customFormat="1" x14ac:dyDescent="0.25">
      <c r="B168" s="52"/>
      <c r="C168" s="38"/>
      <c r="D168" s="39"/>
      <c r="E168" s="50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</row>
    <row r="169" spans="2:16" s="40" customFormat="1" x14ac:dyDescent="0.25">
      <c r="B169" s="52"/>
      <c r="C169" s="38"/>
      <c r="D169" s="39"/>
      <c r="E169" s="50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</row>
    <row r="170" spans="2:16" s="40" customFormat="1" x14ac:dyDescent="0.25">
      <c r="B170" s="52"/>
      <c r="C170" s="38"/>
      <c r="D170" s="39"/>
      <c r="E170" s="50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</row>
    <row r="171" spans="2:16" s="40" customFormat="1" x14ac:dyDescent="0.25">
      <c r="B171" s="52"/>
      <c r="C171" s="38"/>
      <c r="D171" s="39"/>
      <c r="E171" s="50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</row>
    <row r="172" spans="2:16" s="40" customFormat="1" x14ac:dyDescent="0.25">
      <c r="B172" s="52"/>
      <c r="C172" s="38"/>
      <c r="D172" s="39"/>
      <c r="E172" s="50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</row>
    <row r="173" spans="2:16" s="40" customFormat="1" x14ac:dyDescent="0.25">
      <c r="B173" s="52"/>
      <c r="C173" s="38"/>
      <c r="D173" s="39"/>
      <c r="E173" s="50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</row>
    <row r="174" spans="2:16" s="40" customFormat="1" x14ac:dyDescent="0.25">
      <c r="B174" s="52"/>
      <c r="C174" s="38"/>
      <c r="D174" s="39"/>
      <c r="E174" s="50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</row>
    <row r="175" spans="2:16" s="40" customFormat="1" x14ac:dyDescent="0.25">
      <c r="B175" s="52"/>
      <c r="C175" s="38"/>
      <c r="D175" s="39"/>
      <c r="E175" s="50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</row>
    <row r="176" spans="2:16" s="40" customFormat="1" x14ac:dyDescent="0.25">
      <c r="B176" s="52"/>
      <c r="C176" s="38"/>
      <c r="D176" s="39"/>
      <c r="E176" s="50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</row>
    <row r="177" spans="2:16" s="40" customFormat="1" x14ac:dyDescent="0.25">
      <c r="B177" s="52"/>
      <c r="C177" s="38"/>
      <c r="D177" s="39"/>
      <c r="E177" s="50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</row>
    <row r="178" spans="2:16" s="40" customFormat="1" x14ac:dyDescent="0.25">
      <c r="B178" s="52"/>
      <c r="C178" s="38"/>
      <c r="D178" s="39"/>
      <c r="E178" s="50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</row>
    <row r="179" spans="2:16" s="40" customFormat="1" x14ac:dyDescent="0.25">
      <c r="B179" s="52"/>
      <c r="C179" s="38"/>
      <c r="D179" s="39"/>
      <c r="E179" s="50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</row>
    <row r="180" spans="2:16" s="40" customFormat="1" x14ac:dyDescent="0.25">
      <c r="B180" s="52"/>
      <c r="C180" s="38"/>
      <c r="D180" s="39"/>
      <c r="E180" s="50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</row>
    <row r="181" spans="2:16" s="40" customFormat="1" x14ac:dyDescent="0.25">
      <c r="B181" s="52"/>
      <c r="C181" s="38"/>
      <c r="D181" s="39"/>
      <c r="E181" s="50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</row>
    <row r="182" spans="2:16" s="40" customFormat="1" x14ac:dyDescent="0.25">
      <c r="B182" s="52"/>
      <c r="C182" s="38"/>
      <c r="D182" s="39"/>
      <c r="E182" s="50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</row>
    <row r="183" spans="2:16" s="40" customFormat="1" x14ac:dyDescent="0.25">
      <c r="B183" s="52"/>
      <c r="C183" s="38"/>
      <c r="D183" s="39"/>
      <c r="E183" s="50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</row>
    <row r="184" spans="2:16" s="40" customFormat="1" x14ac:dyDescent="0.25">
      <c r="B184" s="52"/>
      <c r="C184" s="38"/>
      <c r="D184" s="39"/>
      <c r="E184" s="50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</row>
    <row r="185" spans="2:16" s="40" customFormat="1" x14ac:dyDescent="0.25">
      <c r="B185" s="52"/>
      <c r="C185" s="38"/>
      <c r="D185" s="39"/>
      <c r="E185" s="50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</row>
    <row r="186" spans="2:16" s="40" customFormat="1" x14ac:dyDescent="0.25">
      <c r="B186" s="52"/>
      <c r="C186" s="38"/>
      <c r="D186" s="39"/>
      <c r="E186" s="50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</row>
    <row r="187" spans="2:16" s="40" customFormat="1" x14ac:dyDescent="0.25">
      <c r="B187" s="52"/>
      <c r="C187" s="38"/>
      <c r="D187" s="39"/>
      <c r="E187" s="50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</row>
    <row r="188" spans="2:16" s="40" customFormat="1" x14ac:dyDescent="0.25">
      <c r="B188" s="52"/>
      <c r="C188" s="38"/>
      <c r="D188" s="39"/>
      <c r="E188" s="50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</row>
    <row r="189" spans="2:16" s="40" customFormat="1" x14ac:dyDescent="0.25">
      <c r="B189" s="52"/>
      <c r="C189" s="38"/>
      <c r="D189" s="39"/>
      <c r="E189" s="50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</row>
    <row r="190" spans="2:16" s="40" customFormat="1" x14ac:dyDescent="0.25">
      <c r="B190" s="52"/>
      <c r="C190" s="38"/>
      <c r="D190" s="39"/>
      <c r="E190" s="50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</row>
    <row r="191" spans="2:16" s="40" customFormat="1" x14ac:dyDescent="0.25">
      <c r="B191" s="52"/>
      <c r="C191" s="38"/>
      <c r="D191" s="39"/>
      <c r="E191" s="50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</row>
    <row r="192" spans="2:16" s="40" customFormat="1" x14ac:dyDescent="0.25">
      <c r="B192" s="52"/>
      <c r="C192" s="38"/>
      <c r="D192" s="39"/>
      <c r="E192" s="50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</row>
    <row r="193" spans="2:16" s="40" customFormat="1" x14ac:dyDescent="0.25">
      <c r="B193" s="52"/>
      <c r="C193" s="38"/>
      <c r="D193" s="39"/>
      <c r="E193" s="50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</row>
    <row r="194" spans="2:16" s="40" customFormat="1" x14ac:dyDescent="0.25">
      <c r="B194" s="52"/>
      <c r="C194" s="38"/>
      <c r="D194" s="39"/>
      <c r="E194" s="50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</row>
    <row r="195" spans="2:16" s="40" customFormat="1" x14ac:dyDescent="0.25">
      <c r="B195" s="52"/>
      <c r="C195" s="38"/>
      <c r="D195" s="39"/>
      <c r="E195" s="50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</row>
    <row r="196" spans="2:16" s="40" customFormat="1" x14ac:dyDescent="0.25">
      <c r="B196" s="52"/>
      <c r="C196" s="38"/>
      <c r="D196" s="39"/>
      <c r="E196" s="50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</row>
    <row r="197" spans="2:16" s="40" customFormat="1" x14ac:dyDescent="0.25">
      <c r="B197" s="52"/>
      <c r="C197" s="38"/>
      <c r="D197" s="39"/>
      <c r="E197" s="50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</row>
    <row r="198" spans="2:16" s="40" customFormat="1" x14ac:dyDescent="0.25">
      <c r="B198" s="52"/>
      <c r="C198" s="38"/>
      <c r="D198" s="39"/>
      <c r="E198" s="50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</row>
    <row r="199" spans="2:16" s="40" customFormat="1" x14ac:dyDescent="0.25">
      <c r="B199" s="52"/>
      <c r="C199" s="38"/>
      <c r="D199" s="39"/>
      <c r="E199" s="50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</row>
    <row r="200" spans="2:16" s="40" customFormat="1" x14ac:dyDescent="0.25">
      <c r="B200" s="52"/>
      <c r="C200" s="38"/>
      <c r="D200" s="39"/>
      <c r="E200" s="50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</row>
    <row r="201" spans="2:16" s="40" customFormat="1" x14ac:dyDescent="0.25">
      <c r="B201" s="52"/>
      <c r="C201" s="38"/>
      <c r="D201" s="39"/>
      <c r="E201" s="50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</row>
    <row r="202" spans="2:16" s="40" customFormat="1" x14ac:dyDescent="0.25">
      <c r="B202" s="52"/>
      <c r="C202" s="38"/>
      <c r="D202" s="39"/>
      <c r="E202" s="50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</row>
    <row r="203" spans="2:16" s="40" customFormat="1" x14ac:dyDescent="0.25">
      <c r="B203" s="52"/>
      <c r="C203" s="38"/>
      <c r="D203" s="39"/>
      <c r="E203" s="50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</row>
    <row r="204" spans="2:16" s="40" customFormat="1" x14ac:dyDescent="0.25">
      <c r="B204" s="52"/>
      <c r="C204" s="38"/>
      <c r="D204" s="39"/>
      <c r="E204" s="50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</row>
    <row r="205" spans="2:16" s="40" customFormat="1" x14ac:dyDescent="0.25">
      <c r="B205" s="52"/>
      <c r="C205" s="38"/>
      <c r="D205" s="39"/>
      <c r="E205" s="50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</row>
    <row r="206" spans="2:16" s="40" customFormat="1" x14ac:dyDescent="0.25">
      <c r="B206" s="52"/>
      <c r="C206" s="38"/>
      <c r="D206" s="39"/>
      <c r="E206" s="50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</row>
    <row r="207" spans="2:16" s="40" customFormat="1" x14ac:dyDescent="0.25">
      <c r="B207" s="52"/>
      <c r="C207" s="38"/>
      <c r="D207" s="39"/>
      <c r="E207" s="50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</row>
    <row r="208" spans="2:16" s="40" customFormat="1" x14ac:dyDescent="0.25">
      <c r="B208" s="52"/>
      <c r="C208" s="38"/>
      <c r="D208" s="39"/>
      <c r="E208" s="50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</row>
    <row r="209" spans="2:16" s="40" customFormat="1" x14ac:dyDescent="0.25">
      <c r="B209" s="52"/>
      <c r="C209" s="38"/>
      <c r="D209" s="39"/>
      <c r="E209" s="50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</row>
    <row r="210" spans="2:16" s="40" customFormat="1" x14ac:dyDescent="0.25">
      <c r="B210" s="52"/>
      <c r="C210" s="38"/>
      <c r="D210" s="39"/>
      <c r="E210" s="50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</row>
    <row r="211" spans="2:16" s="40" customFormat="1" x14ac:dyDescent="0.25">
      <c r="B211" s="52"/>
      <c r="C211" s="38"/>
      <c r="D211" s="39"/>
      <c r="E211" s="50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</row>
    <row r="212" spans="2:16" s="40" customFormat="1" x14ac:dyDescent="0.25">
      <c r="B212" s="52"/>
      <c r="C212" s="38"/>
      <c r="D212" s="39"/>
      <c r="E212" s="50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</row>
    <row r="213" spans="2:16" s="40" customFormat="1" x14ac:dyDescent="0.25">
      <c r="B213" s="52"/>
      <c r="C213" s="38"/>
      <c r="D213" s="39"/>
      <c r="E213" s="50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</row>
    <row r="214" spans="2:16" s="40" customFormat="1" x14ac:dyDescent="0.25">
      <c r="B214" s="52"/>
      <c r="C214" s="38"/>
      <c r="D214" s="39"/>
      <c r="E214" s="50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</row>
    <row r="215" spans="2:16" s="40" customFormat="1" x14ac:dyDescent="0.25">
      <c r="B215" s="52"/>
      <c r="C215" s="38"/>
      <c r="D215" s="39"/>
      <c r="E215" s="50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</row>
    <row r="216" spans="2:16" s="40" customFormat="1" x14ac:dyDescent="0.25">
      <c r="B216" s="52"/>
      <c r="C216" s="38"/>
      <c r="D216" s="39"/>
      <c r="E216" s="50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</row>
    <row r="217" spans="2:16" s="40" customFormat="1" x14ac:dyDescent="0.25">
      <c r="B217" s="52"/>
      <c r="C217" s="38"/>
      <c r="D217" s="39"/>
      <c r="E217" s="50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</row>
    <row r="218" spans="2:16" s="40" customFormat="1" x14ac:dyDescent="0.25">
      <c r="B218" s="52"/>
      <c r="C218" s="38"/>
      <c r="D218" s="39"/>
      <c r="E218" s="50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</row>
    <row r="219" spans="2:16" s="40" customFormat="1" x14ac:dyDescent="0.25">
      <c r="B219" s="52"/>
      <c r="C219" s="38"/>
      <c r="D219" s="39"/>
      <c r="E219" s="50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</row>
    <row r="220" spans="2:16" s="40" customFormat="1" x14ac:dyDescent="0.25">
      <c r="B220" s="52"/>
      <c r="C220" s="38"/>
      <c r="D220" s="39"/>
      <c r="E220" s="50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</row>
    <row r="221" spans="2:16" s="40" customFormat="1" x14ac:dyDescent="0.25">
      <c r="B221" s="52"/>
      <c r="C221" s="38"/>
      <c r="D221" s="39"/>
      <c r="E221" s="50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</row>
    <row r="222" spans="2:16" s="40" customFormat="1" x14ac:dyDescent="0.25">
      <c r="B222" s="52"/>
      <c r="C222" s="38"/>
      <c r="D222" s="39"/>
      <c r="E222" s="50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</row>
    <row r="223" spans="2:16" s="40" customFormat="1" x14ac:dyDescent="0.25">
      <c r="B223" s="52"/>
      <c r="C223" s="38"/>
      <c r="D223" s="39"/>
      <c r="E223" s="50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</row>
    <row r="224" spans="2:16" s="40" customFormat="1" x14ac:dyDescent="0.25">
      <c r="B224" s="52"/>
      <c r="C224" s="38"/>
      <c r="D224" s="39"/>
      <c r="E224" s="50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</row>
    <row r="225" spans="2:16" s="40" customFormat="1" x14ac:dyDescent="0.25">
      <c r="B225" s="52"/>
      <c r="C225" s="38"/>
      <c r="D225" s="39"/>
      <c r="E225" s="50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</row>
    <row r="226" spans="2:16" s="40" customFormat="1" x14ac:dyDescent="0.25">
      <c r="B226" s="52"/>
      <c r="C226" s="38"/>
      <c r="D226" s="39"/>
      <c r="E226" s="50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</row>
    <row r="227" spans="2:16" s="40" customFormat="1" x14ac:dyDescent="0.25">
      <c r="B227" s="52"/>
      <c r="C227" s="38"/>
      <c r="D227" s="39"/>
      <c r="E227" s="50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</row>
    <row r="228" spans="2:16" s="40" customFormat="1" x14ac:dyDescent="0.25">
      <c r="B228" s="52"/>
      <c r="C228" s="38"/>
      <c r="D228" s="39"/>
      <c r="E228" s="50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</row>
    <row r="229" spans="2:16" s="40" customFormat="1" x14ac:dyDescent="0.25">
      <c r="B229" s="52"/>
      <c r="C229" s="38"/>
      <c r="D229" s="39"/>
      <c r="E229" s="50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</row>
    <row r="230" spans="2:16" s="40" customFormat="1" x14ac:dyDescent="0.25">
      <c r="B230" s="52"/>
      <c r="C230" s="38"/>
      <c r="D230" s="39"/>
      <c r="E230" s="50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</row>
    <row r="231" spans="2:16" s="40" customFormat="1" x14ac:dyDescent="0.25">
      <c r="B231" s="52"/>
      <c r="C231" s="38"/>
      <c r="D231" s="39"/>
      <c r="E231" s="50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</row>
    <row r="232" spans="2:16" s="40" customFormat="1" x14ac:dyDescent="0.25">
      <c r="B232" s="52"/>
      <c r="C232" s="38"/>
      <c r="D232" s="39"/>
      <c r="E232" s="50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</row>
    <row r="233" spans="2:16" s="40" customFormat="1" x14ac:dyDescent="0.25">
      <c r="B233" s="52"/>
      <c r="C233" s="38"/>
      <c r="D233" s="39"/>
      <c r="E233" s="50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</row>
    <row r="234" spans="2:16" s="40" customFormat="1" x14ac:dyDescent="0.25">
      <c r="B234" s="52"/>
      <c r="C234" s="38"/>
      <c r="D234" s="39"/>
      <c r="E234" s="50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</row>
    <row r="235" spans="2:16" s="40" customFormat="1" x14ac:dyDescent="0.25">
      <c r="B235" s="52"/>
      <c r="C235" s="38"/>
      <c r="D235" s="39"/>
      <c r="E235" s="50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</row>
    <row r="236" spans="2:16" s="40" customFormat="1" x14ac:dyDescent="0.25">
      <c r="B236" s="52"/>
      <c r="C236" s="38"/>
      <c r="D236" s="39"/>
      <c r="E236" s="50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</row>
    <row r="237" spans="2:16" s="40" customFormat="1" x14ac:dyDescent="0.25">
      <c r="B237" s="52"/>
      <c r="C237" s="38"/>
      <c r="D237" s="39"/>
      <c r="E237" s="50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</row>
    <row r="238" spans="2:16" s="40" customFormat="1" x14ac:dyDescent="0.25">
      <c r="B238" s="52"/>
      <c r="C238" s="38"/>
      <c r="D238" s="39"/>
      <c r="E238" s="50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</row>
    <row r="239" spans="2:16" s="40" customFormat="1" x14ac:dyDescent="0.25">
      <c r="B239" s="52"/>
      <c r="C239" s="38"/>
      <c r="D239" s="39"/>
      <c r="E239" s="50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</row>
    <row r="240" spans="2:16" s="40" customFormat="1" x14ac:dyDescent="0.25">
      <c r="B240" s="52"/>
      <c r="C240" s="38"/>
      <c r="D240" s="39"/>
      <c r="E240" s="50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</row>
    <row r="241" spans="2:16" s="40" customFormat="1" x14ac:dyDescent="0.25">
      <c r="B241" s="52"/>
      <c r="C241" s="38"/>
      <c r="D241" s="39"/>
      <c r="E241" s="50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</row>
    <row r="242" spans="2:16" s="40" customFormat="1" x14ac:dyDescent="0.25">
      <c r="B242" s="52"/>
      <c r="C242" s="38"/>
      <c r="D242" s="39"/>
      <c r="E242" s="50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</row>
    <row r="243" spans="2:16" s="40" customFormat="1" x14ac:dyDescent="0.25">
      <c r="B243" s="52"/>
      <c r="C243" s="38"/>
      <c r="D243" s="39"/>
      <c r="E243" s="50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</row>
    <row r="244" spans="2:16" s="40" customFormat="1" x14ac:dyDescent="0.25">
      <c r="B244" s="52"/>
      <c r="C244" s="38"/>
      <c r="D244" s="39"/>
      <c r="E244" s="50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</row>
    <row r="245" spans="2:16" s="40" customFormat="1" x14ac:dyDescent="0.25">
      <c r="B245" s="52"/>
      <c r="C245" s="38"/>
      <c r="D245" s="39"/>
      <c r="E245" s="50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</row>
    <row r="246" spans="2:16" s="40" customFormat="1" x14ac:dyDescent="0.25">
      <c r="B246" s="52"/>
      <c r="C246" s="38"/>
      <c r="D246" s="39"/>
      <c r="E246" s="50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</row>
    <row r="247" spans="2:16" s="40" customFormat="1" x14ac:dyDescent="0.25">
      <c r="B247" s="52"/>
      <c r="C247" s="38"/>
      <c r="D247" s="39"/>
      <c r="E247" s="50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</row>
    <row r="248" spans="2:16" s="40" customFormat="1" x14ac:dyDescent="0.25">
      <c r="B248" s="52"/>
      <c r="C248" s="38"/>
      <c r="D248" s="39"/>
      <c r="E248" s="50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</row>
    <row r="249" spans="2:16" s="40" customFormat="1" x14ac:dyDescent="0.25">
      <c r="B249" s="52"/>
      <c r="C249" s="38"/>
      <c r="D249" s="39"/>
      <c r="E249" s="50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</row>
    <row r="250" spans="2:16" s="40" customFormat="1" x14ac:dyDescent="0.25">
      <c r="B250" s="52"/>
      <c r="C250" s="38"/>
      <c r="D250" s="39"/>
      <c r="E250" s="50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</row>
    <row r="251" spans="2:16" s="40" customFormat="1" x14ac:dyDescent="0.25">
      <c r="B251" s="52"/>
      <c r="C251" s="38"/>
      <c r="D251" s="39"/>
      <c r="E251" s="50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</row>
    <row r="252" spans="2:16" s="40" customFormat="1" x14ac:dyDescent="0.25">
      <c r="B252" s="52"/>
      <c r="C252" s="38"/>
      <c r="D252" s="39"/>
      <c r="E252" s="50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</row>
  </sheetData>
  <sheetProtection formatCells="0" formatColumns="0" formatRows="0" insertColumns="0" insertRows="0" insertHyperlinks="0" deleteColumns="0" deleteRows="0" sort="0" autoFilter="0" pivotTables="0"/>
  <sortState ref="B5:P140">
    <sortCondition ref="C5:C140"/>
    <sortCondition ref="D5:D140"/>
  </sortState>
  <mergeCells count="11">
    <mergeCell ref="B1:P1"/>
    <mergeCell ref="B2:B4"/>
    <mergeCell ref="C2:C4"/>
    <mergeCell ref="D2:D4"/>
    <mergeCell ref="E2:F3"/>
    <mergeCell ref="G2:P2"/>
    <mergeCell ref="G3:H3"/>
    <mergeCell ref="I3:J3"/>
    <mergeCell ref="K3:L3"/>
    <mergeCell ref="M3:N3"/>
    <mergeCell ref="O3:P3"/>
  </mergeCells>
  <printOptions horizontalCentered="1" verticalCentered="1"/>
  <pageMargins left="0" right="0" top="0.98425196850393704" bottom="0.19685039370078741" header="0" footer="0"/>
  <pageSetup paperSize="9" scale="94" orientation="landscape" r:id="rId1"/>
  <headerFooter>
    <oddHeader>&amp;L       &amp;G</oddHeader>
  </headerFooter>
  <rowBreaks count="3" manualBreakCount="3">
    <brk id="32" max="16383" man="1"/>
    <brk id="62" max="16383" man="1"/>
    <brk id="126" max="1638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0"/>
  <sheetViews>
    <sheetView topLeftCell="A67" zoomScaleNormal="100" workbookViewId="0">
      <selection activeCell="D32" sqref="D32:H32"/>
    </sheetView>
  </sheetViews>
  <sheetFormatPr defaultRowHeight="15.75" x14ac:dyDescent="0.25"/>
  <cols>
    <col min="1" max="1" width="9.140625" style="1"/>
    <col min="2" max="2" width="9.7109375" style="2" customWidth="1"/>
    <col min="3" max="3" width="13.28515625" style="53" customWidth="1"/>
    <col min="4" max="4" width="6" style="54" customWidth="1"/>
    <col min="5" max="5" width="9.140625" style="55" customWidth="1"/>
    <col min="6" max="16" width="9.140625" style="3" customWidth="1"/>
    <col min="17" max="16384" width="9.140625" style="1"/>
  </cols>
  <sheetData>
    <row r="1" spans="1:16" ht="19.5" customHeight="1" thickBot="1" x14ac:dyDescent="0.35">
      <c r="B1" s="368" t="s">
        <v>299</v>
      </c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</row>
    <row r="2" spans="1:16" ht="33.75" customHeight="1" thickBot="1" x14ac:dyDescent="0.3">
      <c r="B2" s="353" t="s">
        <v>10</v>
      </c>
      <c r="C2" s="356" t="s">
        <v>11</v>
      </c>
      <c r="D2" s="357" t="s">
        <v>12</v>
      </c>
      <c r="E2" s="371" t="s">
        <v>98</v>
      </c>
      <c r="F2" s="367"/>
      <c r="G2" s="374" t="s">
        <v>14</v>
      </c>
      <c r="H2" s="375"/>
      <c r="I2" s="375"/>
      <c r="J2" s="375"/>
      <c r="K2" s="375"/>
      <c r="L2" s="375"/>
      <c r="M2" s="375"/>
      <c r="N2" s="375"/>
      <c r="O2" s="375"/>
      <c r="P2" s="376"/>
    </row>
    <row r="3" spans="1:16" ht="14.25" customHeight="1" x14ac:dyDescent="0.25">
      <c r="B3" s="369"/>
      <c r="C3" s="369"/>
      <c r="D3" s="369"/>
      <c r="E3" s="372"/>
      <c r="F3" s="373"/>
      <c r="G3" s="366" t="s">
        <v>15</v>
      </c>
      <c r="H3" s="367"/>
      <c r="I3" s="366" t="s">
        <v>16</v>
      </c>
      <c r="J3" s="367"/>
      <c r="K3" s="366" t="s">
        <v>17</v>
      </c>
      <c r="L3" s="367"/>
      <c r="M3" s="366" t="s">
        <v>18</v>
      </c>
      <c r="N3" s="367"/>
      <c r="O3" s="366" t="s">
        <v>19</v>
      </c>
      <c r="P3" s="367"/>
    </row>
    <row r="4" spans="1:16" thickBot="1" x14ac:dyDescent="0.3">
      <c r="B4" s="370"/>
      <c r="C4" s="370"/>
      <c r="D4" s="370"/>
      <c r="E4" s="13" t="s">
        <v>20</v>
      </c>
      <c r="F4" s="14" t="s">
        <v>21</v>
      </c>
      <c r="G4" s="15" t="s">
        <v>20</v>
      </c>
      <c r="H4" s="16" t="s">
        <v>21</v>
      </c>
      <c r="I4" s="15" t="s">
        <v>20</v>
      </c>
      <c r="J4" s="16" t="s">
        <v>21</v>
      </c>
      <c r="K4" s="15" t="s">
        <v>20</v>
      </c>
      <c r="L4" s="16" t="s">
        <v>21</v>
      </c>
      <c r="M4" s="15" t="s">
        <v>20</v>
      </c>
      <c r="N4" s="16" t="s">
        <v>21</v>
      </c>
      <c r="O4" s="15" t="s">
        <v>20</v>
      </c>
      <c r="P4" s="16" t="s">
        <v>21</v>
      </c>
    </row>
    <row r="5" spans="1:16" ht="15" customHeight="1" x14ac:dyDescent="0.25">
      <c r="A5" s="1" t="str">
        <f>B5&amp;D5</f>
        <v>2242042-4</v>
      </c>
      <c r="B5" s="56">
        <v>224204</v>
      </c>
      <c r="C5" s="57" t="s">
        <v>35</v>
      </c>
      <c r="D5" s="58" t="s">
        <v>26</v>
      </c>
      <c r="E5" s="59">
        <v>1098</v>
      </c>
      <c r="F5" s="60">
        <f t="shared" ref="F5:F36" si="0">E5*1.21</f>
        <v>1328.58</v>
      </c>
      <c r="G5" s="61">
        <f>$E5/spotřeba!$C$5</f>
        <v>499.09090909090907</v>
      </c>
      <c r="H5" s="62">
        <f>$F5/spotřeba!$C$5</f>
        <v>603.89999999999986</v>
      </c>
      <c r="I5" s="63">
        <f>$E5/spotřeba!$C$6</f>
        <v>610</v>
      </c>
      <c r="J5" s="64">
        <f>$F5/spotřeba!$C$6</f>
        <v>738.09999999999991</v>
      </c>
      <c r="K5" s="61">
        <f>$E5/spotřeba!$C$7</f>
        <v>732</v>
      </c>
      <c r="L5" s="62">
        <f>$F5/spotřeba!$C$7</f>
        <v>885.71999999999991</v>
      </c>
      <c r="M5" s="63">
        <f>$E5/spotřeba!$C$8</f>
        <v>878.4</v>
      </c>
      <c r="N5" s="64">
        <f>$F5/spotřeba!$C$8</f>
        <v>1062.864</v>
      </c>
      <c r="O5" s="61">
        <f>$E5/spotřeba!$C$9</f>
        <v>1247.7272727272727</v>
      </c>
      <c r="P5" s="62">
        <f>$F5/spotřeba!$C$9</f>
        <v>1509.75</v>
      </c>
    </row>
    <row r="6" spans="1:16" ht="15" customHeight="1" x14ac:dyDescent="0.25">
      <c r="A6" s="1" t="str">
        <f t="shared" ref="A6:A55" si="1">B6&amp;D6</f>
        <v>2472044-7</v>
      </c>
      <c r="B6" s="35">
        <v>247204</v>
      </c>
      <c r="C6" s="65" t="s">
        <v>35</v>
      </c>
      <c r="D6" s="66" t="s">
        <v>32</v>
      </c>
      <c r="E6" s="67">
        <v>1098</v>
      </c>
      <c r="F6" s="68">
        <f t="shared" si="0"/>
        <v>1328.58</v>
      </c>
      <c r="G6" s="69" t="s">
        <v>24</v>
      </c>
      <c r="H6" s="70" t="s">
        <v>24</v>
      </c>
      <c r="I6" s="71" t="s">
        <v>24</v>
      </c>
      <c r="J6" s="72" t="s">
        <v>24</v>
      </c>
      <c r="K6" s="69">
        <f>$E6/spotřeba!$C$7</f>
        <v>732</v>
      </c>
      <c r="L6" s="70">
        <f>$F6/spotřeba!$C$7</f>
        <v>885.71999999999991</v>
      </c>
      <c r="M6" s="71">
        <f>$E6/spotřeba!$C$8</f>
        <v>878.4</v>
      </c>
      <c r="N6" s="72">
        <f>$F6/spotřeba!$C$8</f>
        <v>1062.864</v>
      </c>
      <c r="O6" s="69">
        <f>$E6/spotřeba!$C$9</f>
        <v>1247.7272727272727</v>
      </c>
      <c r="P6" s="70">
        <f>$F6/spotřeba!$C$9</f>
        <v>1509.75</v>
      </c>
    </row>
    <row r="7" spans="1:16" ht="15" customHeight="1" x14ac:dyDescent="0.25">
      <c r="A7" s="1" t="str">
        <f t="shared" si="1"/>
        <v>2243322-4</v>
      </c>
      <c r="B7" s="35">
        <v>224332</v>
      </c>
      <c r="C7" s="65" t="s">
        <v>71</v>
      </c>
      <c r="D7" s="66" t="s">
        <v>26</v>
      </c>
      <c r="E7" s="67">
        <v>1164</v>
      </c>
      <c r="F7" s="68">
        <f t="shared" si="0"/>
        <v>1408.44</v>
      </c>
      <c r="G7" s="69">
        <f>$E7/spotřeba!$C$5</f>
        <v>529.09090909090901</v>
      </c>
      <c r="H7" s="70">
        <f>$F7/spotřeba!$C$5</f>
        <v>640.19999999999993</v>
      </c>
      <c r="I7" s="71">
        <f>$E7/spotřeba!$C$6</f>
        <v>646.66666666666663</v>
      </c>
      <c r="J7" s="72">
        <f>$F7/spotřeba!$C$6</f>
        <v>782.4666666666667</v>
      </c>
      <c r="K7" s="69">
        <f>$E7/spotřeba!$C$7</f>
        <v>776</v>
      </c>
      <c r="L7" s="70">
        <f>$F7/spotřeba!$C$7</f>
        <v>938.96</v>
      </c>
      <c r="M7" s="71">
        <f>$E7/spotřeba!$C$8</f>
        <v>931.2</v>
      </c>
      <c r="N7" s="72">
        <f>$F7/spotřeba!$C$8</f>
        <v>1126.752</v>
      </c>
      <c r="O7" s="69">
        <f>$E7/spotřeba!$C$9</f>
        <v>1322.7272727272727</v>
      </c>
      <c r="P7" s="70">
        <f>$F7/spotřeba!$C$9</f>
        <v>1600.5</v>
      </c>
    </row>
    <row r="8" spans="1:16" ht="15" customHeight="1" x14ac:dyDescent="0.25">
      <c r="A8" s="1" t="str">
        <f t="shared" si="1"/>
        <v>2473324-7</v>
      </c>
      <c r="B8" s="35">
        <v>247332</v>
      </c>
      <c r="C8" s="65" t="s">
        <v>71</v>
      </c>
      <c r="D8" s="66" t="s">
        <v>32</v>
      </c>
      <c r="E8" s="67">
        <v>1164</v>
      </c>
      <c r="F8" s="68">
        <f t="shared" si="0"/>
        <v>1408.44</v>
      </c>
      <c r="G8" s="69" t="s">
        <v>24</v>
      </c>
      <c r="H8" s="70" t="s">
        <v>24</v>
      </c>
      <c r="I8" s="71" t="s">
        <v>24</v>
      </c>
      <c r="J8" s="72" t="s">
        <v>24</v>
      </c>
      <c r="K8" s="69">
        <f>$E8/spotřeba!$C$7</f>
        <v>776</v>
      </c>
      <c r="L8" s="70">
        <f>$F8/spotřeba!$C$7</f>
        <v>938.96</v>
      </c>
      <c r="M8" s="71">
        <f>$E8/spotřeba!$C$8</f>
        <v>931.2</v>
      </c>
      <c r="N8" s="72">
        <f>$F8/spotřeba!$C$8</f>
        <v>1126.752</v>
      </c>
      <c r="O8" s="69">
        <f>$E8/spotřeba!$C$9</f>
        <v>1322.7272727272727</v>
      </c>
      <c r="P8" s="70">
        <f>$F8/spotřeba!$C$9</f>
        <v>1600.5</v>
      </c>
    </row>
    <row r="9" spans="1:16" ht="15" customHeight="1" x14ac:dyDescent="0.25">
      <c r="A9" s="1" t="str">
        <f t="shared" si="1"/>
        <v>2241022-4</v>
      </c>
      <c r="B9" s="35">
        <v>224102</v>
      </c>
      <c r="C9" s="65" t="s">
        <v>25</v>
      </c>
      <c r="D9" s="66" t="s">
        <v>26</v>
      </c>
      <c r="E9" s="67">
        <v>819.6</v>
      </c>
      <c r="F9" s="68">
        <f t="shared" si="0"/>
        <v>991.71600000000001</v>
      </c>
      <c r="G9" s="69">
        <f>$E9/spotřeba!$C$5</f>
        <v>372.5454545454545</v>
      </c>
      <c r="H9" s="70">
        <f>$F9/spotřeba!$C$5</f>
        <v>450.78</v>
      </c>
      <c r="I9" s="71">
        <f>$E9/spotřeba!$C$6</f>
        <v>455.33333333333331</v>
      </c>
      <c r="J9" s="72">
        <f>$F9/spotřeba!$C$6</f>
        <v>550.95333333333338</v>
      </c>
      <c r="K9" s="69">
        <f>$E9/spotřeba!$C$7</f>
        <v>546.4</v>
      </c>
      <c r="L9" s="70">
        <f>$F9/spotřeba!$C$7</f>
        <v>661.14400000000001</v>
      </c>
      <c r="M9" s="71">
        <f>$E9/spotřeba!$C$8</f>
        <v>655.68000000000006</v>
      </c>
      <c r="N9" s="72">
        <f>$F9/spotřeba!$C$8</f>
        <v>793.37279999999998</v>
      </c>
      <c r="O9" s="69">
        <f>$E9/spotřeba!$C$9</f>
        <v>931.36363636363637</v>
      </c>
      <c r="P9" s="70">
        <f>$F9/spotřeba!$C$9</f>
        <v>1126.95</v>
      </c>
    </row>
    <row r="10" spans="1:16" ht="15" customHeight="1" x14ac:dyDescent="0.25">
      <c r="A10" s="1" t="str">
        <f t="shared" si="1"/>
        <v>2242152-4</v>
      </c>
      <c r="B10" s="35">
        <v>224215</v>
      </c>
      <c r="C10" s="65" t="s">
        <v>44</v>
      </c>
      <c r="D10" s="66" t="s">
        <v>26</v>
      </c>
      <c r="E10" s="67">
        <v>1200</v>
      </c>
      <c r="F10" s="68">
        <f t="shared" si="0"/>
        <v>1452</v>
      </c>
      <c r="G10" s="69">
        <f>$E10/spotřeba!$C$5</f>
        <v>545.45454545454538</v>
      </c>
      <c r="H10" s="70">
        <f>$F10/spotřeba!$C$5</f>
        <v>660</v>
      </c>
      <c r="I10" s="71">
        <f>$E10/spotřeba!$C$6</f>
        <v>666.66666666666663</v>
      </c>
      <c r="J10" s="72">
        <f>$F10/spotřeba!$C$6</f>
        <v>806.66666666666663</v>
      </c>
      <c r="K10" s="69">
        <f>$E10/spotřeba!$C$7</f>
        <v>800</v>
      </c>
      <c r="L10" s="70">
        <f>$F10/spotřeba!$C$7</f>
        <v>968</v>
      </c>
      <c r="M10" s="71">
        <f>$E10/spotřeba!$C$8</f>
        <v>960</v>
      </c>
      <c r="N10" s="72">
        <f>$F10/spotřeba!$C$8</f>
        <v>1161.5999999999999</v>
      </c>
      <c r="O10" s="69">
        <f>$E10/spotřeba!$C$9</f>
        <v>1363.6363636363637</v>
      </c>
      <c r="P10" s="70">
        <f>$F10/spotřeba!$C$9</f>
        <v>1650</v>
      </c>
    </row>
    <row r="11" spans="1:16" ht="15" customHeight="1" x14ac:dyDescent="0.25">
      <c r="A11" s="1" t="str">
        <f t="shared" si="1"/>
        <v>2472154-7</v>
      </c>
      <c r="B11" s="35">
        <v>247215</v>
      </c>
      <c r="C11" s="65" t="s">
        <v>44</v>
      </c>
      <c r="D11" s="66" t="s">
        <v>32</v>
      </c>
      <c r="E11" s="67">
        <v>1200</v>
      </c>
      <c r="F11" s="68">
        <f t="shared" si="0"/>
        <v>1452</v>
      </c>
      <c r="G11" s="69" t="s">
        <v>24</v>
      </c>
      <c r="H11" s="70" t="s">
        <v>24</v>
      </c>
      <c r="I11" s="71" t="s">
        <v>24</v>
      </c>
      <c r="J11" s="72" t="s">
        <v>24</v>
      </c>
      <c r="K11" s="69">
        <f>$E11/spotřeba!$C$7</f>
        <v>800</v>
      </c>
      <c r="L11" s="70">
        <f>$F11/spotřeba!$C$7</f>
        <v>968</v>
      </c>
      <c r="M11" s="71">
        <f>$E11/spotřeba!$C$8</f>
        <v>960</v>
      </c>
      <c r="N11" s="72">
        <f>$F11/spotřeba!$C$8</f>
        <v>1161.5999999999999</v>
      </c>
      <c r="O11" s="69">
        <f>$E11/spotřeba!$C$9</f>
        <v>1363.6363636363637</v>
      </c>
      <c r="P11" s="70">
        <f>$F11/spotřeba!$C$9</f>
        <v>1650</v>
      </c>
    </row>
    <row r="12" spans="1:16" ht="15" customHeight="1" x14ac:dyDescent="0.25">
      <c r="A12" s="1" t="str">
        <f t="shared" si="1"/>
        <v>2243062-4</v>
      </c>
      <c r="B12" s="35">
        <v>224306</v>
      </c>
      <c r="C12" s="65" t="s">
        <v>51</v>
      </c>
      <c r="D12" s="66" t="s">
        <v>26</v>
      </c>
      <c r="E12" s="67">
        <v>1164</v>
      </c>
      <c r="F12" s="68">
        <f t="shared" si="0"/>
        <v>1408.44</v>
      </c>
      <c r="G12" s="69">
        <f>$E12/spotřeba!$C$5</f>
        <v>529.09090909090901</v>
      </c>
      <c r="H12" s="70">
        <f>$F12/spotřeba!$C$5</f>
        <v>640.19999999999993</v>
      </c>
      <c r="I12" s="71">
        <f>$E12/spotřeba!$C$6</f>
        <v>646.66666666666663</v>
      </c>
      <c r="J12" s="72">
        <f>$F12/spotřeba!$C$6</f>
        <v>782.4666666666667</v>
      </c>
      <c r="K12" s="69">
        <f>$E12/spotřeba!$C$7</f>
        <v>776</v>
      </c>
      <c r="L12" s="70">
        <f>$F12/spotřeba!$C$7</f>
        <v>938.96</v>
      </c>
      <c r="M12" s="71">
        <f>$E12/spotřeba!$C$8</f>
        <v>931.2</v>
      </c>
      <c r="N12" s="72">
        <f>$F12/spotřeba!$C$8</f>
        <v>1126.752</v>
      </c>
      <c r="O12" s="69">
        <f>$E12/spotřeba!$C$9</f>
        <v>1322.7272727272727</v>
      </c>
      <c r="P12" s="70">
        <f>$F12/spotřeba!$C$9</f>
        <v>1600.5</v>
      </c>
    </row>
    <row r="13" spans="1:16" ht="15" customHeight="1" x14ac:dyDescent="0.25">
      <c r="A13" s="1" t="str">
        <f t="shared" si="1"/>
        <v>2473064-7</v>
      </c>
      <c r="B13" s="35">
        <v>247306</v>
      </c>
      <c r="C13" s="65" t="s">
        <v>51</v>
      </c>
      <c r="D13" s="66" t="s">
        <v>32</v>
      </c>
      <c r="E13" s="67">
        <v>1164</v>
      </c>
      <c r="F13" s="68">
        <f t="shared" si="0"/>
        <v>1408.44</v>
      </c>
      <c r="G13" s="69" t="s">
        <v>24</v>
      </c>
      <c r="H13" s="70" t="s">
        <v>24</v>
      </c>
      <c r="I13" s="71" t="s">
        <v>24</v>
      </c>
      <c r="J13" s="72" t="s">
        <v>24</v>
      </c>
      <c r="K13" s="69">
        <f>$E13/spotřeba!$C$7</f>
        <v>776</v>
      </c>
      <c r="L13" s="70">
        <f>$F13/spotřeba!$C$7</f>
        <v>938.96</v>
      </c>
      <c r="M13" s="71">
        <f>$E13/spotřeba!$C$8</f>
        <v>931.2</v>
      </c>
      <c r="N13" s="72">
        <f>$F13/spotřeba!$C$8</f>
        <v>1126.752</v>
      </c>
      <c r="O13" s="69">
        <f>$E13/spotřeba!$C$9</f>
        <v>1322.7272727272727</v>
      </c>
      <c r="P13" s="70">
        <f>$F13/spotřeba!$C$9</f>
        <v>1600.5</v>
      </c>
    </row>
    <row r="14" spans="1:16" ht="15" customHeight="1" x14ac:dyDescent="0.25">
      <c r="A14" s="1" t="str">
        <f t="shared" si="1"/>
        <v>2243392-4</v>
      </c>
      <c r="B14" s="35">
        <v>224339</v>
      </c>
      <c r="C14" s="65" t="s">
        <v>77</v>
      </c>
      <c r="D14" s="66" t="s">
        <v>26</v>
      </c>
      <c r="E14" s="67">
        <v>1164</v>
      </c>
      <c r="F14" s="68">
        <f t="shared" si="0"/>
        <v>1408.44</v>
      </c>
      <c r="G14" s="69">
        <f>$E14/spotřeba!$C$5</f>
        <v>529.09090909090901</v>
      </c>
      <c r="H14" s="70">
        <f>$F14/spotřeba!$C$5</f>
        <v>640.19999999999993</v>
      </c>
      <c r="I14" s="71">
        <f>$E14/spotřeba!$C$6</f>
        <v>646.66666666666663</v>
      </c>
      <c r="J14" s="72">
        <f>$F14/spotřeba!$C$6</f>
        <v>782.4666666666667</v>
      </c>
      <c r="K14" s="69">
        <f>$E14/spotřeba!$C$7</f>
        <v>776</v>
      </c>
      <c r="L14" s="70">
        <f>$F14/spotřeba!$C$7</f>
        <v>938.96</v>
      </c>
      <c r="M14" s="71">
        <f>$E14/spotřeba!$C$8</f>
        <v>931.2</v>
      </c>
      <c r="N14" s="72">
        <f>$F14/spotřeba!$C$8</f>
        <v>1126.752</v>
      </c>
      <c r="O14" s="69">
        <f>$E14/spotřeba!$C$9</f>
        <v>1322.7272727272727</v>
      </c>
      <c r="P14" s="70">
        <f>$F14/spotřeba!$C$9</f>
        <v>1600.5</v>
      </c>
    </row>
    <row r="15" spans="1:16" ht="15" customHeight="1" x14ac:dyDescent="0.25">
      <c r="A15" s="1" t="str">
        <f t="shared" si="1"/>
        <v>2473394-7</v>
      </c>
      <c r="B15" s="35">
        <v>247339</v>
      </c>
      <c r="C15" s="65" t="s">
        <v>77</v>
      </c>
      <c r="D15" s="66" t="s">
        <v>32</v>
      </c>
      <c r="E15" s="67">
        <v>1164</v>
      </c>
      <c r="F15" s="68">
        <f t="shared" si="0"/>
        <v>1408.44</v>
      </c>
      <c r="G15" s="69" t="s">
        <v>24</v>
      </c>
      <c r="H15" s="70" t="s">
        <v>24</v>
      </c>
      <c r="I15" s="71" t="s">
        <v>24</v>
      </c>
      <c r="J15" s="72" t="s">
        <v>24</v>
      </c>
      <c r="K15" s="69">
        <f>$E15/spotřeba!$C$7</f>
        <v>776</v>
      </c>
      <c r="L15" s="70">
        <f>$F15/spotřeba!$C$7</f>
        <v>938.96</v>
      </c>
      <c r="M15" s="71">
        <f>$E15/spotřeba!$C$8</f>
        <v>931.2</v>
      </c>
      <c r="N15" s="72">
        <f>$F15/spotřeba!$C$8</f>
        <v>1126.752</v>
      </c>
      <c r="O15" s="69">
        <f>$E15/spotřeba!$C$9</f>
        <v>1322.7272727272727</v>
      </c>
      <c r="P15" s="70">
        <f>$F15/spotřeba!$C$9</f>
        <v>1600.5</v>
      </c>
    </row>
    <row r="16" spans="1:16" ht="15" customHeight="1" x14ac:dyDescent="0.25">
      <c r="A16" s="1" t="str">
        <f t="shared" si="1"/>
        <v>2243282-4</v>
      </c>
      <c r="B16" s="35">
        <v>224328</v>
      </c>
      <c r="C16" s="65" t="s">
        <v>67</v>
      </c>
      <c r="D16" s="66" t="s">
        <v>26</v>
      </c>
      <c r="E16" s="67">
        <v>1164</v>
      </c>
      <c r="F16" s="68">
        <f t="shared" si="0"/>
        <v>1408.44</v>
      </c>
      <c r="G16" s="69">
        <f>$E16/spotřeba!$C$5</f>
        <v>529.09090909090901</v>
      </c>
      <c r="H16" s="70">
        <f>$F16/spotřeba!$C$5</f>
        <v>640.19999999999993</v>
      </c>
      <c r="I16" s="71">
        <f>$E16/spotřeba!$C$6</f>
        <v>646.66666666666663</v>
      </c>
      <c r="J16" s="72">
        <f>$F16/spotřeba!$C$6</f>
        <v>782.4666666666667</v>
      </c>
      <c r="K16" s="69">
        <f>$E16/spotřeba!$C$7</f>
        <v>776</v>
      </c>
      <c r="L16" s="70">
        <f>$F16/spotřeba!$C$7</f>
        <v>938.96</v>
      </c>
      <c r="M16" s="71">
        <f>$E16/spotřeba!$C$8</f>
        <v>931.2</v>
      </c>
      <c r="N16" s="72">
        <f>$F16/spotřeba!$C$8</f>
        <v>1126.752</v>
      </c>
      <c r="O16" s="69">
        <f>$E16/spotřeba!$C$9</f>
        <v>1322.7272727272727</v>
      </c>
      <c r="P16" s="70">
        <f>$F16/spotřeba!$C$9</f>
        <v>1600.5</v>
      </c>
    </row>
    <row r="17" spans="1:16" ht="15" customHeight="1" x14ac:dyDescent="0.25">
      <c r="A17" s="1" t="str">
        <f t="shared" si="1"/>
        <v>2473284-7</v>
      </c>
      <c r="B17" s="35">
        <v>247328</v>
      </c>
      <c r="C17" s="65" t="s">
        <v>67</v>
      </c>
      <c r="D17" s="66" t="s">
        <v>32</v>
      </c>
      <c r="E17" s="67">
        <v>1164</v>
      </c>
      <c r="F17" s="68">
        <f t="shared" si="0"/>
        <v>1408.44</v>
      </c>
      <c r="G17" s="69" t="s">
        <v>24</v>
      </c>
      <c r="H17" s="70" t="s">
        <v>24</v>
      </c>
      <c r="I17" s="71" t="s">
        <v>24</v>
      </c>
      <c r="J17" s="72" t="s">
        <v>24</v>
      </c>
      <c r="K17" s="69">
        <f>$E17/spotřeba!$C$7</f>
        <v>776</v>
      </c>
      <c r="L17" s="70">
        <f>$F17/spotřeba!$C$7</f>
        <v>938.96</v>
      </c>
      <c r="M17" s="71">
        <f>$E17/spotřeba!$C$8</f>
        <v>931.2</v>
      </c>
      <c r="N17" s="72">
        <f>$F17/spotřeba!$C$8</f>
        <v>1126.752</v>
      </c>
      <c r="O17" s="69">
        <f>$E17/spotřeba!$C$9</f>
        <v>1322.7272727272727</v>
      </c>
      <c r="P17" s="70">
        <f>$F17/spotřeba!$C$9</f>
        <v>1600.5</v>
      </c>
    </row>
    <row r="18" spans="1:16" ht="15" customHeight="1" x14ac:dyDescent="0.25">
      <c r="A18" s="1" t="str">
        <f t="shared" si="1"/>
        <v>2243552-4</v>
      </c>
      <c r="B18" s="35">
        <v>224355</v>
      </c>
      <c r="C18" s="65" t="s">
        <v>88</v>
      </c>
      <c r="D18" s="66" t="s">
        <v>26</v>
      </c>
      <c r="E18" s="67">
        <v>1164</v>
      </c>
      <c r="F18" s="68">
        <f t="shared" si="0"/>
        <v>1408.44</v>
      </c>
      <c r="G18" s="69">
        <f>$E18/spotřeba!$C$5</f>
        <v>529.09090909090901</v>
      </c>
      <c r="H18" s="70">
        <f>$F18/spotřeba!$C$5</f>
        <v>640.19999999999993</v>
      </c>
      <c r="I18" s="71">
        <f>$E18/spotřeba!$C$6</f>
        <v>646.66666666666663</v>
      </c>
      <c r="J18" s="72">
        <f>$F18/spotřeba!$C$6</f>
        <v>782.4666666666667</v>
      </c>
      <c r="K18" s="69">
        <f>$E18/spotřeba!$C$7</f>
        <v>776</v>
      </c>
      <c r="L18" s="70">
        <f>$F18/spotřeba!$C$7</f>
        <v>938.96</v>
      </c>
      <c r="M18" s="71">
        <f>$E18/spotřeba!$C$8</f>
        <v>931.2</v>
      </c>
      <c r="N18" s="72">
        <f>$F18/spotřeba!$C$8</f>
        <v>1126.752</v>
      </c>
      <c r="O18" s="69">
        <f>$E18/spotřeba!$C$9</f>
        <v>1322.7272727272727</v>
      </c>
      <c r="P18" s="70">
        <f>$F18/spotřeba!$C$9</f>
        <v>1600.5</v>
      </c>
    </row>
    <row r="19" spans="1:16" ht="15" customHeight="1" x14ac:dyDescent="0.25">
      <c r="A19" s="1" t="str">
        <f t="shared" si="1"/>
        <v>2473554-7</v>
      </c>
      <c r="B19" s="25">
        <v>247355</v>
      </c>
      <c r="C19" s="65" t="s">
        <v>88</v>
      </c>
      <c r="D19" s="66" t="s">
        <v>32</v>
      </c>
      <c r="E19" s="67">
        <v>1164</v>
      </c>
      <c r="F19" s="68">
        <f t="shared" si="0"/>
        <v>1408.44</v>
      </c>
      <c r="G19" s="69" t="s">
        <v>24</v>
      </c>
      <c r="H19" s="70" t="s">
        <v>24</v>
      </c>
      <c r="I19" s="71" t="s">
        <v>24</v>
      </c>
      <c r="J19" s="72" t="s">
        <v>24</v>
      </c>
      <c r="K19" s="69">
        <f>$E19/spotřeba!$C$7</f>
        <v>776</v>
      </c>
      <c r="L19" s="70">
        <f>$F19/spotřeba!$C$7</f>
        <v>938.96</v>
      </c>
      <c r="M19" s="71">
        <f>$E19/spotřeba!$C$8</f>
        <v>931.2</v>
      </c>
      <c r="N19" s="72">
        <f>$F19/spotřeba!$C$8</f>
        <v>1126.752</v>
      </c>
      <c r="O19" s="69">
        <f>$E19/spotřeba!$C$9</f>
        <v>1322.7272727272727</v>
      </c>
      <c r="P19" s="70">
        <f>$F19/spotřeba!$C$9</f>
        <v>1600.5</v>
      </c>
    </row>
    <row r="20" spans="1:16" ht="15" customHeight="1" x14ac:dyDescent="0.25">
      <c r="A20" s="1" t="str">
        <f t="shared" si="1"/>
        <v>2243642-4</v>
      </c>
      <c r="B20" s="25">
        <v>224364</v>
      </c>
      <c r="C20" s="65" t="s">
        <v>97</v>
      </c>
      <c r="D20" s="66" t="s">
        <v>26</v>
      </c>
      <c r="E20" s="67">
        <v>1164</v>
      </c>
      <c r="F20" s="68">
        <f t="shared" si="0"/>
        <v>1408.44</v>
      </c>
      <c r="G20" s="69">
        <f>$E20/spotřeba!$C$5</f>
        <v>529.09090909090901</v>
      </c>
      <c r="H20" s="70">
        <f>$F20/spotřeba!$C$5</f>
        <v>640.19999999999993</v>
      </c>
      <c r="I20" s="71">
        <f>$E20/spotřeba!$C$6</f>
        <v>646.66666666666663</v>
      </c>
      <c r="J20" s="72">
        <f>$F20/spotřeba!$C$6</f>
        <v>782.4666666666667</v>
      </c>
      <c r="K20" s="69">
        <f>$E20/spotřeba!$C$7</f>
        <v>776</v>
      </c>
      <c r="L20" s="70">
        <f>$F20/spotřeba!$C$7</f>
        <v>938.96</v>
      </c>
      <c r="M20" s="71">
        <f>$E20/spotřeba!$C$8</f>
        <v>931.2</v>
      </c>
      <c r="N20" s="72">
        <f>$F20/spotřeba!$C$8</f>
        <v>1126.752</v>
      </c>
      <c r="O20" s="69">
        <f>$E20/spotřeba!$C$9</f>
        <v>1322.7272727272727</v>
      </c>
      <c r="P20" s="70">
        <f>$F20/spotřeba!$C$9</f>
        <v>1600.5</v>
      </c>
    </row>
    <row r="21" spans="1:16" ht="15" customHeight="1" x14ac:dyDescent="0.25">
      <c r="A21" s="1" t="str">
        <f t="shared" si="1"/>
        <v>2473644-7</v>
      </c>
      <c r="B21" s="25">
        <v>247364</v>
      </c>
      <c r="C21" s="65" t="s">
        <v>97</v>
      </c>
      <c r="D21" s="66" t="s">
        <v>32</v>
      </c>
      <c r="E21" s="67">
        <v>1164</v>
      </c>
      <c r="F21" s="68">
        <f t="shared" si="0"/>
        <v>1408.44</v>
      </c>
      <c r="G21" s="69" t="s">
        <v>24</v>
      </c>
      <c r="H21" s="70" t="s">
        <v>24</v>
      </c>
      <c r="I21" s="71" t="s">
        <v>24</v>
      </c>
      <c r="J21" s="72" t="s">
        <v>24</v>
      </c>
      <c r="K21" s="69">
        <f>$E21/spotřeba!$C$7</f>
        <v>776</v>
      </c>
      <c r="L21" s="70">
        <f>$F21/spotřeba!$C$7</f>
        <v>938.96</v>
      </c>
      <c r="M21" s="71">
        <f>$E21/spotřeba!$C$8</f>
        <v>931.2</v>
      </c>
      <c r="N21" s="72">
        <f>$F21/spotřeba!$C$8</f>
        <v>1126.752</v>
      </c>
      <c r="O21" s="69">
        <f>$E21/spotřeba!$C$9</f>
        <v>1322.7272727272727</v>
      </c>
      <c r="P21" s="70">
        <f>$F21/spotřeba!$C$9</f>
        <v>1600.5</v>
      </c>
    </row>
    <row r="22" spans="1:16" ht="15" customHeight="1" x14ac:dyDescent="0.25">
      <c r="A22" s="1" t="str">
        <f t="shared" si="1"/>
        <v>2243622-4</v>
      </c>
      <c r="B22" s="25">
        <v>224362</v>
      </c>
      <c r="C22" s="65" t="s">
        <v>95</v>
      </c>
      <c r="D22" s="66" t="s">
        <v>26</v>
      </c>
      <c r="E22" s="67">
        <v>1164</v>
      </c>
      <c r="F22" s="68">
        <f t="shared" si="0"/>
        <v>1408.44</v>
      </c>
      <c r="G22" s="69">
        <f>$E22/spotřeba!$C$5</f>
        <v>529.09090909090901</v>
      </c>
      <c r="H22" s="70">
        <f>$F22/spotřeba!$C$5</f>
        <v>640.19999999999993</v>
      </c>
      <c r="I22" s="71">
        <f>$E22/spotřeba!$C$6</f>
        <v>646.66666666666663</v>
      </c>
      <c r="J22" s="72">
        <f>$F22/spotřeba!$C$6</f>
        <v>782.4666666666667</v>
      </c>
      <c r="K22" s="69">
        <f>$E22/spotřeba!$C$7</f>
        <v>776</v>
      </c>
      <c r="L22" s="70">
        <f>$F22/spotřeba!$C$7</f>
        <v>938.96</v>
      </c>
      <c r="M22" s="71">
        <f>$E22/spotřeba!$C$8</f>
        <v>931.2</v>
      </c>
      <c r="N22" s="72">
        <f>$F22/spotřeba!$C$8</f>
        <v>1126.752</v>
      </c>
      <c r="O22" s="69">
        <f>$E22/spotřeba!$C$9</f>
        <v>1322.7272727272727</v>
      </c>
      <c r="P22" s="70">
        <f>$F22/spotřeba!$C$9</f>
        <v>1600.5</v>
      </c>
    </row>
    <row r="23" spans="1:16" ht="15" customHeight="1" x14ac:dyDescent="0.25">
      <c r="A23" s="1" t="str">
        <f t="shared" si="1"/>
        <v>2473624-7</v>
      </c>
      <c r="B23" s="25">
        <v>247362</v>
      </c>
      <c r="C23" s="65" t="s">
        <v>95</v>
      </c>
      <c r="D23" s="66" t="s">
        <v>32</v>
      </c>
      <c r="E23" s="67">
        <v>1164</v>
      </c>
      <c r="F23" s="68">
        <f t="shared" si="0"/>
        <v>1408.44</v>
      </c>
      <c r="G23" s="69" t="s">
        <v>24</v>
      </c>
      <c r="H23" s="70" t="s">
        <v>24</v>
      </c>
      <c r="I23" s="71" t="s">
        <v>24</v>
      </c>
      <c r="J23" s="72" t="s">
        <v>24</v>
      </c>
      <c r="K23" s="69">
        <f>$E23/spotřeba!$C$7</f>
        <v>776</v>
      </c>
      <c r="L23" s="70">
        <f>$F23/spotřeba!$C$7</f>
        <v>938.96</v>
      </c>
      <c r="M23" s="71">
        <f>$E23/spotřeba!$C$8</f>
        <v>931.2</v>
      </c>
      <c r="N23" s="72">
        <f>$F23/spotřeba!$C$8</f>
        <v>1126.752</v>
      </c>
      <c r="O23" s="69">
        <f>$E23/spotřeba!$C$9</f>
        <v>1322.7272727272727</v>
      </c>
      <c r="P23" s="70">
        <f>$F23/spotřeba!$C$9</f>
        <v>1600.5</v>
      </c>
    </row>
    <row r="24" spans="1:16" ht="15" customHeight="1" x14ac:dyDescent="0.25">
      <c r="A24" s="1" t="str">
        <f t="shared" si="1"/>
        <v>2243052-4</v>
      </c>
      <c r="B24" s="35">
        <v>224305</v>
      </c>
      <c r="C24" s="65" t="s">
        <v>50</v>
      </c>
      <c r="D24" s="66" t="s">
        <v>26</v>
      </c>
      <c r="E24" s="67">
        <v>1164</v>
      </c>
      <c r="F24" s="68">
        <f t="shared" si="0"/>
        <v>1408.44</v>
      </c>
      <c r="G24" s="69">
        <f>$E24/spotřeba!$C$5</f>
        <v>529.09090909090901</v>
      </c>
      <c r="H24" s="70">
        <f>$F24/spotřeba!$C$5</f>
        <v>640.19999999999993</v>
      </c>
      <c r="I24" s="71">
        <f>$E24/spotřeba!$C$6</f>
        <v>646.66666666666663</v>
      </c>
      <c r="J24" s="72">
        <f>$F24/spotřeba!$C$6</f>
        <v>782.4666666666667</v>
      </c>
      <c r="K24" s="69">
        <f>$E24/spotřeba!$C$7</f>
        <v>776</v>
      </c>
      <c r="L24" s="70">
        <f>$F24/spotřeba!$C$7</f>
        <v>938.96</v>
      </c>
      <c r="M24" s="71">
        <f>$E24/spotřeba!$C$8</f>
        <v>931.2</v>
      </c>
      <c r="N24" s="72">
        <f>$F24/spotřeba!$C$8</f>
        <v>1126.752</v>
      </c>
      <c r="O24" s="69">
        <f>$E24/spotřeba!$C$9</f>
        <v>1322.7272727272727</v>
      </c>
      <c r="P24" s="70">
        <f>$F24/spotřeba!$C$9</f>
        <v>1600.5</v>
      </c>
    </row>
    <row r="25" spans="1:16" ht="15" customHeight="1" x14ac:dyDescent="0.25">
      <c r="A25" s="1" t="str">
        <f t="shared" si="1"/>
        <v>2473054-7</v>
      </c>
      <c r="B25" s="35">
        <v>247305</v>
      </c>
      <c r="C25" s="65" t="s">
        <v>50</v>
      </c>
      <c r="D25" s="66" t="s">
        <v>32</v>
      </c>
      <c r="E25" s="67">
        <v>1164</v>
      </c>
      <c r="F25" s="68">
        <f t="shared" si="0"/>
        <v>1408.44</v>
      </c>
      <c r="G25" s="69" t="s">
        <v>24</v>
      </c>
      <c r="H25" s="70" t="s">
        <v>24</v>
      </c>
      <c r="I25" s="71" t="s">
        <v>24</v>
      </c>
      <c r="J25" s="72" t="s">
        <v>24</v>
      </c>
      <c r="K25" s="69">
        <f>$E25/spotřeba!$C$7</f>
        <v>776</v>
      </c>
      <c r="L25" s="70">
        <f>$F25/spotřeba!$C$7</f>
        <v>938.96</v>
      </c>
      <c r="M25" s="71">
        <f>$E25/spotřeba!$C$8</f>
        <v>931.2</v>
      </c>
      <c r="N25" s="72">
        <f>$F25/spotřeba!$C$8</f>
        <v>1126.752</v>
      </c>
      <c r="O25" s="69">
        <f>$E25/spotřeba!$C$9</f>
        <v>1322.7272727272727</v>
      </c>
      <c r="P25" s="70">
        <f>$F25/spotřeba!$C$9</f>
        <v>1600.5</v>
      </c>
    </row>
    <row r="26" spans="1:16" ht="15" customHeight="1" x14ac:dyDescent="0.25">
      <c r="A26" s="1" t="str">
        <f t="shared" si="1"/>
        <v>2243632-4</v>
      </c>
      <c r="B26" s="25">
        <v>224363</v>
      </c>
      <c r="C26" s="65" t="s">
        <v>96</v>
      </c>
      <c r="D26" s="66" t="s">
        <v>26</v>
      </c>
      <c r="E26" s="67">
        <v>1164</v>
      </c>
      <c r="F26" s="68">
        <f t="shared" si="0"/>
        <v>1408.44</v>
      </c>
      <c r="G26" s="69">
        <f>$E26/spotřeba!$C$5</f>
        <v>529.09090909090901</v>
      </c>
      <c r="H26" s="70">
        <f>$F26/spotřeba!$C$5</f>
        <v>640.19999999999993</v>
      </c>
      <c r="I26" s="71">
        <f>$E26/spotřeba!$C$6</f>
        <v>646.66666666666663</v>
      </c>
      <c r="J26" s="72">
        <f>$F26/spotřeba!$C$6</f>
        <v>782.4666666666667</v>
      </c>
      <c r="K26" s="69">
        <f>$E26/spotřeba!$C$7</f>
        <v>776</v>
      </c>
      <c r="L26" s="70">
        <f>$F26/spotřeba!$C$7</f>
        <v>938.96</v>
      </c>
      <c r="M26" s="71">
        <f>$E26/spotřeba!$C$8</f>
        <v>931.2</v>
      </c>
      <c r="N26" s="72">
        <f>$F26/spotřeba!$C$8</f>
        <v>1126.752</v>
      </c>
      <c r="O26" s="69">
        <f>$E26/spotřeba!$C$9</f>
        <v>1322.7272727272727</v>
      </c>
      <c r="P26" s="70">
        <f>$F26/spotřeba!$C$9</f>
        <v>1600.5</v>
      </c>
    </row>
    <row r="27" spans="1:16" ht="15" customHeight="1" x14ac:dyDescent="0.25">
      <c r="A27" s="1" t="str">
        <f t="shared" si="1"/>
        <v>2473634-7</v>
      </c>
      <c r="B27" s="25">
        <v>247363</v>
      </c>
      <c r="C27" s="65" t="s">
        <v>96</v>
      </c>
      <c r="D27" s="66" t="s">
        <v>32</v>
      </c>
      <c r="E27" s="67">
        <v>1164</v>
      </c>
      <c r="F27" s="68">
        <f t="shared" si="0"/>
        <v>1408.44</v>
      </c>
      <c r="G27" s="69" t="s">
        <v>24</v>
      </c>
      <c r="H27" s="70" t="s">
        <v>24</v>
      </c>
      <c r="I27" s="71" t="s">
        <v>24</v>
      </c>
      <c r="J27" s="72" t="s">
        <v>24</v>
      </c>
      <c r="K27" s="69">
        <f>$E27/spotřeba!$C$7</f>
        <v>776</v>
      </c>
      <c r="L27" s="70">
        <f>$F27/spotřeba!$C$7</f>
        <v>938.96</v>
      </c>
      <c r="M27" s="71">
        <f>$E27/spotřeba!$C$8</f>
        <v>931.2</v>
      </c>
      <c r="N27" s="72">
        <f>$F27/spotřeba!$C$8</f>
        <v>1126.752</v>
      </c>
      <c r="O27" s="69">
        <f>$E27/spotřeba!$C$9</f>
        <v>1322.7272727272727</v>
      </c>
      <c r="P27" s="70">
        <f>$F27/spotřeba!$C$9</f>
        <v>1600.5</v>
      </c>
    </row>
    <row r="28" spans="1:16" ht="15" customHeight="1" x14ac:dyDescent="0.25">
      <c r="A28" s="1" t="str">
        <f t="shared" si="1"/>
        <v>2243522-4</v>
      </c>
      <c r="B28" s="35">
        <v>224352</v>
      </c>
      <c r="C28" s="65" t="s">
        <v>86</v>
      </c>
      <c r="D28" s="66" t="s">
        <v>26</v>
      </c>
      <c r="E28" s="67">
        <v>1164</v>
      </c>
      <c r="F28" s="68">
        <f t="shared" si="0"/>
        <v>1408.44</v>
      </c>
      <c r="G28" s="69">
        <f>$E28/spotřeba!$C$5</f>
        <v>529.09090909090901</v>
      </c>
      <c r="H28" s="70">
        <f>$F28/spotřeba!$C$5</f>
        <v>640.19999999999993</v>
      </c>
      <c r="I28" s="71">
        <f>$E28/spotřeba!$C$6</f>
        <v>646.66666666666663</v>
      </c>
      <c r="J28" s="72">
        <f>$F28/spotřeba!$C$6</f>
        <v>782.4666666666667</v>
      </c>
      <c r="K28" s="69">
        <f>$E28/spotřeba!$C$7</f>
        <v>776</v>
      </c>
      <c r="L28" s="70">
        <f>$F28/spotřeba!$C$7</f>
        <v>938.96</v>
      </c>
      <c r="M28" s="71">
        <f>$E28/spotřeba!$C$8</f>
        <v>931.2</v>
      </c>
      <c r="N28" s="72">
        <f>$F28/spotřeba!$C$8</f>
        <v>1126.752</v>
      </c>
      <c r="O28" s="69">
        <f>$E28/spotřeba!$C$9</f>
        <v>1322.7272727272727</v>
      </c>
      <c r="P28" s="70">
        <f>$F28/spotřeba!$C$9</f>
        <v>1600.5</v>
      </c>
    </row>
    <row r="29" spans="1:16" ht="15" customHeight="1" x14ac:dyDescent="0.25">
      <c r="A29" s="1" t="str">
        <f t="shared" si="1"/>
        <v>2473524-7</v>
      </c>
      <c r="B29" s="35">
        <v>247352</v>
      </c>
      <c r="C29" s="65" t="s">
        <v>86</v>
      </c>
      <c r="D29" s="66" t="s">
        <v>32</v>
      </c>
      <c r="E29" s="67">
        <v>1164</v>
      </c>
      <c r="F29" s="68">
        <f t="shared" si="0"/>
        <v>1408.44</v>
      </c>
      <c r="G29" s="69" t="s">
        <v>24</v>
      </c>
      <c r="H29" s="70" t="s">
        <v>24</v>
      </c>
      <c r="I29" s="71" t="s">
        <v>24</v>
      </c>
      <c r="J29" s="72" t="s">
        <v>24</v>
      </c>
      <c r="K29" s="69">
        <f>$E29/spotřeba!$C$7</f>
        <v>776</v>
      </c>
      <c r="L29" s="70">
        <f>$F29/spotřeba!$C$7</f>
        <v>938.96</v>
      </c>
      <c r="M29" s="71">
        <f>$E29/spotřeba!$C$8</f>
        <v>931.2</v>
      </c>
      <c r="N29" s="72">
        <f>$F29/spotřeba!$C$8</f>
        <v>1126.752</v>
      </c>
      <c r="O29" s="69">
        <f>$E29/spotřeba!$C$9</f>
        <v>1322.7272727272727</v>
      </c>
      <c r="P29" s="70">
        <f>$F29/spotřeba!$C$9</f>
        <v>1600.5</v>
      </c>
    </row>
    <row r="30" spans="1:16" ht="15" customHeight="1" x14ac:dyDescent="0.25">
      <c r="A30" s="1" t="str">
        <f t="shared" si="1"/>
        <v>2281032-8</v>
      </c>
      <c r="B30" s="35">
        <v>228103</v>
      </c>
      <c r="C30" s="65" t="s">
        <v>27</v>
      </c>
      <c r="D30" s="66" t="s">
        <v>28</v>
      </c>
      <c r="E30" s="67">
        <v>819.6</v>
      </c>
      <c r="F30" s="68">
        <f t="shared" si="0"/>
        <v>991.71600000000001</v>
      </c>
      <c r="G30" s="69" t="s">
        <v>24</v>
      </c>
      <c r="H30" s="70" t="s">
        <v>24</v>
      </c>
      <c r="I30" s="71" t="s">
        <v>24</v>
      </c>
      <c r="J30" s="72" t="s">
        <v>24</v>
      </c>
      <c r="K30" s="69">
        <f>$E30/spotřeba!$C$7</f>
        <v>546.4</v>
      </c>
      <c r="L30" s="70">
        <f>$F30/spotřeba!$C$7</f>
        <v>661.14400000000001</v>
      </c>
      <c r="M30" s="71">
        <f>$E30/spotřeba!$C$8</f>
        <v>655.68000000000006</v>
      </c>
      <c r="N30" s="72">
        <f>$F30/spotřeba!$C$8</f>
        <v>793.37279999999998</v>
      </c>
      <c r="O30" s="69">
        <f>$E30/spotřeba!$C$9</f>
        <v>931.36363636363637</v>
      </c>
      <c r="P30" s="70">
        <f>$F30/spotřeba!$C$9</f>
        <v>1126.95</v>
      </c>
    </row>
    <row r="31" spans="1:16" ht="15" customHeight="1" x14ac:dyDescent="0.25">
      <c r="A31" s="1" t="str">
        <f t="shared" si="1"/>
        <v>2243302-4</v>
      </c>
      <c r="B31" s="35">
        <v>224330</v>
      </c>
      <c r="C31" s="65" t="s">
        <v>69</v>
      </c>
      <c r="D31" s="66" t="s">
        <v>26</v>
      </c>
      <c r="E31" s="67">
        <v>1164</v>
      </c>
      <c r="F31" s="68">
        <f t="shared" si="0"/>
        <v>1408.44</v>
      </c>
      <c r="G31" s="69">
        <f>$E31/spotřeba!$C$5</f>
        <v>529.09090909090901</v>
      </c>
      <c r="H31" s="70">
        <f>$F31/spotřeba!$C$5</f>
        <v>640.19999999999993</v>
      </c>
      <c r="I31" s="71">
        <f>$E31/spotřeba!$C$6</f>
        <v>646.66666666666663</v>
      </c>
      <c r="J31" s="72">
        <f>$F31/spotřeba!$C$6</f>
        <v>782.4666666666667</v>
      </c>
      <c r="K31" s="69">
        <f>$E31/spotřeba!$C$7</f>
        <v>776</v>
      </c>
      <c r="L31" s="70">
        <f>$F31/spotřeba!$C$7</f>
        <v>938.96</v>
      </c>
      <c r="M31" s="71">
        <f>$E31/spotřeba!$C$8</f>
        <v>931.2</v>
      </c>
      <c r="N31" s="72">
        <f>$F31/spotřeba!$C$8</f>
        <v>1126.752</v>
      </c>
      <c r="O31" s="69">
        <f>$E31/spotřeba!$C$9</f>
        <v>1322.7272727272727</v>
      </c>
      <c r="P31" s="70">
        <f>$F31/spotřeba!$C$9</f>
        <v>1600.5</v>
      </c>
    </row>
    <row r="32" spans="1:16" ht="15" customHeight="1" x14ac:dyDescent="0.25">
      <c r="A32" s="1" t="str">
        <f t="shared" si="1"/>
        <v>2473304-7</v>
      </c>
      <c r="B32" s="35">
        <v>247330</v>
      </c>
      <c r="C32" s="65" t="s">
        <v>69</v>
      </c>
      <c r="D32" s="66" t="s">
        <v>32</v>
      </c>
      <c r="E32" s="67">
        <v>1164</v>
      </c>
      <c r="F32" s="68">
        <f t="shared" si="0"/>
        <v>1408.44</v>
      </c>
      <c r="G32" s="69" t="s">
        <v>24</v>
      </c>
      <c r="H32" s="70" t="s">
        <v>24</v>
      </c>
      <c r="I32" s="71" t="s">
        <v>24</v>
      </c>
      <c r="J32" s="72" t="s">
        <v>24</v>
      </c>
      <c r="K32" s="69">
        <f>$E32/spotřeba!$C$7</f>
        <v>776</v>
      </c>
      <c r="L32" s="70">
        <f>$F32/spotřeba!$C$7</f>
        <v>938.96</v>
      </c>
      <c r="M32" s="71">
        <f>$E32/spotřeba!$C$8</f>
        <v>931.2</v>
      </c>
      <c r="N32" s="72">
        <f>$F32/spotřeba!$C$8</f>
        <v>1126.752</v>
      </c>
      <c r="O32" s="69">
        <f>$E32/spotřeba!$C$9</f>
        <v>1322.7272727272727</v>
      </c>
      <c r="P32" s="70">
        <f>$F32/spotřeba!$C$9</f>
        <v>1600.5</v>
      </c>
    </row>
    <row r="33" spans="1:16" ht="15" customHeight="1" x14ac:dyDescent="0.25">
      <c r="A33" s="1" t="str">
        <f t="shared" si="1"/>
        <v>2243232-4</v>
      </c>
      <c r="B33" s="35">
        <v>224323</v>
      </c>
      <c r="C33" s="65" t="s">
        <v>63</v>
      </c>
      <c r="D33" s="66" t="s">
        <v>26</v>
      </c>
      <c r="E33" s="67">
        <v>1164</v>
      </c>
      <c r="F33" s="68">
        <f t="shared" si="0"/>
        <v>1408.44</v>
      </c>
      <c r="G33" s="69">
        <f>$E33/spotřeba!$C$5</f>
        <v>529.09090909090901</v>
      </c>
      <c r="H33" s="70">
        <f>$F33/spotřeba!$C$5</f>
        <v>640.19999999999993</v>
      </c>
      <c r="I33" s="71">
        <f>$E33/spotřeba!$C$6</f>
        <v>646.66666666666663</v>
      </c>
      <c r="J33" s="72">
        <f>$F33/spotřeba!$C$6</f>
        <v>782.4666666666667</v>
      </c>
      <c r="K33" s="69">
        <f>$E33/spotřeba!$C$7</f>
        <v>776</v>
      </c>
      <c r="L33" s="70">
        <f>$F33/spotřeba!$C$7</f>
        <v>938.96</v>
      </c>
      <c r="M33" s="71">
        <f>$E33/spotřeba!$C$8</f>
        <v>931.2</v>
      </c>
      <c r="N33" s="72">
        <f>$F33/spotřeba!$C$8</f>
        <v>1126.752</v>
      </c>
      <c r="O33" s="69">
        <f>$E33/spotřeba!$C$9</f>
        <v>1322.7272727272727</v>
      </c>
      <c r="P33" s="70">
        <f>$F33/spotřeba!$C$9</f>
        <v>1600.5</v>
      </c>
    </row>
    <row r="34" spans="1:16" ht="15" customHeight="1" x14ac:dyDescent="0.25">
      <c r="A34" s="1" t="str">
        <f t="shared" si="1"/>
        <v>2473234-7</v>
      </c>
      <c r="B34" s="35">
        <v>247323</v>
      </c>
      <c r="C34" s="65" t="s">
        <v>63</v>
      </c>
      <c r="D34" s="66" t="s">
        <v>32</v>
      </c>
      <c r="E34" s="67">
        <v>1164</v>
      </c>
      <c r="F34" s="68">
        <f t="shared" si="0"/>
        <v>1408.44</v>
      </c>
      <c r="G34" s="69" t="s">
        <v>24</v>
      </c>
      <c r="H34" s="70" t="s">
        <v>24</v>
      </c>
      <c r="I34" s="71" t="s">
        <v>24</v>
      </c>
      <c r="J34" s="72" t="s">
        <v>24</v>
      </c>
      <c r="K34" s="69">
        <f>$E34/spotřeba!$C$7</f>
        <v>776</v>
      </c>
      <c r="L34" s="70">
        <f>$F34/spotřeba!$C$7</f>
        <v>938.96</v>
      </c>
      <c r="M34" s="71">
        <f>$E34/spotřeba!$C$8</f>
        <v>931.2</v>
      </c>
      <c r="N34" s="72">
        <f>$F34/spotřeba!$C$8</f>
        <v>1126.752</v>
      </c>
      <c r="O34" s="69">
        <f>$E34/spotřeba!$C$9</f>
        <v>1322.7272727272727</v>
      </c>
      <c r="P34" s="70">
        <f>$F34/spotřeba!$C$9</f>
        <v>1600.5</v>
      </c>
    </row>
    <row r="35" spans="1:16" ht="15" customHeight="1" x14ac:dyDescent="0.25">
      <c r="A35" s="1" t="str">
        <f t="shared" si="1"/>
        <v>2243332-4</v>
      </c>
      <c r="B35" s="35">
        <v>224333</v>
      </c>
      <c r="C35" s="65" t="s">
        <v>72</v>
      </c>
      <c r="D35" s="66" t="s">
        <v>26</v>
      </c>
      <c r="E35" s="67">
        <v>1164</v>
      </c>
      <c r="F35" s="68">
        <f t="shared" si="0"/>
        <v>1408.44</v>
      </c>
      <c r="G35" s="69">
        <f>$E35/spotřeba!$C$5</f>
        <v>529.09090909090901</v>
      </c>
      <c r="H35" s="70">
        <f>$F35/spotřeba!$C$5</f>
        <v>640.19999999999993</v>
      </c>
      <c r="I35" s="71">
        <f>$E35/spotřeba!$C$6</f>
        <v>646.66666666666663</v>
      </c>
      <c r="J35" s="72">
        <f>$F35/spotřeba!$C$6</f>
        <v>782.4666666666667</v>
      </c>
      <c r="K35" s="69">
        <f>$E35/spotřeba!$C$7</f>
        <v>776</v>
      </c>
      <c r="L35" s="70">
        <f>$F35/spotřeba!$C$7</f>
        <v>938.96</v>
      </c>
      <c r="M35" s="71">
        <f>$E35/spotřeba!$C$8</f>
        <v>931.2</v>
      </c>
      <c r="N35" s="72">
        <f>$F35/spotřeba!$C$8</f>
        <v>1126.752</v>
      </c>
      <c r="O35" s="69">
        <f>$E35/spotřeba!$C$9</f>
        <v>1322.7272727272727</v>
      </c>
      <c r="P35" s="70">
        <f>$F35/spotřeba!$C$9</f>
        <v>1600.5</v>
      </c>
    </row>
    <row r="36" spans="1:16" ht="15" customHeight="1" x14ac:dyDescent="0.25">
      <c r="A36" s="1" t="str">
        <f t="shared" si="1"/>
        <v>2473334-7</v>
      </c>
      <c r="B36" s="35">
        <v>247333</v>
      </c>
      <c r="C36" s="65" t="s">
        <v>72</v>
      </c>
      <c r="D36" s="66" t="s">
        <v>32</v>
      </c>
      <c r="E36" s="67">
        <v>1164</v>
      </c>
      <c r="F36" s="68">
        <f t="shared" si="0"/>
        <v>1408.44</v>
      </c>
      <c r="G36" s="69" t="s">
        <v>24</v>
      </c>
      <c r="H36" s="70" t="s">
        <v>24</v>
      </c>
      <c r="I36" s="71" t="s">
        <v>24</v>
      </c>
      <c r="J36" s="72" t="s">
        <v>24</v>
      </c>
      <c r="K36" s="69">
        <f>$E36/spotřeba!$C$7</f>
        <v>776</v>
      </c>
      <c r="L36" s="70">
        <f>$F36/spotřeba!$C$7</f>
        <v>938.96</v>
      </c>
      <c r="M36" s="71">
        <f>$E36/spotřeba!$C$8</f>
        <v>931.2</v>
      </c>
      <c r="N36" s="72">
        <f>$F36/spotřeba!$C$8</f>
        <v>1126.752</v>
      </c>
      <c r="O36" s="69">
        <f>$E36/spotřeba!$C$9</f>
        <v>1322.7272727272727</v>
      </c>
      <c r="P36" s="70">
        <f>$F36/spotřeba!$C$9</f>
        <v>1600.5</v>
      </c>
    </row>
    <row r="37" spans="1:16" ht="15" customHeight="1" x14ac:dyDescent="0.25">
      <c r="A37" s="1" t="str">
        <f t="shared" si="1"/>
        <v>2242102-4</v>
      </c>
      <c r="B37" s="35">
        <v>224210</v>
      </c>
      <c r="C37" s="65" t="s">
        <v>40</v>
      </c>
      <c r="D37" s="66" t="s">
        <v>26</v>
      </c>
      <c r="E37" s="67">
        <v>1092</v>
      </c>
      <c r="F37" s="68">
        <f t="shared" ref="F37:F68" si="2">E37*1.21</f>
        <v>1321.32</v>
      </c>
      <c r="G37" s="69">
        <f>$E37/spotřeba!$C$5</f>
        <v>496.36363636363632</v>
      </c>
      <c r="H37" s="70">
        <f>$F37/spotřeba!$C$5</f>
        <v>600.59999999999991</v>
      </c>
      <c r="I37" s="71">
        <f>$E37/spotřeba!$C$6</f>
        <v>606.66666666666663</v>
      </c>
      <c r="J37" s="72">
        <f>$F37/spotřeba!$C$6</f>
        <v>734.06666666666661</v>
      </c>
      <c r="K37" s="69">
        <f>$E37/spotřeba!$C$7</f>
        <v>728</v>
      </c>
      <c r="L37" s="70">
        <f>$F37/spotřeba!$C$7</f>
        <v>880.88</v>
      </c>
      <c r="M37" s="71">
        <f>$E37/spotřeba!$C$8</f>
        <v>873.6</v>
      </c>
      <c r="N37" s="72">
        <f>$F37/spotřeba!$C$8</f>
        <v>1057.056</v>
      </c>
      <c r="O37" s="69">
        <f>$E37/spotřeba!$C$9</f>
        <v>1240.909090909091</v>
      </c>
      <c r="P37" s="70">
        <f>$F37/spotřeba!$C$9</f>
        <v>1501.5</v>
      </c>
    </row>
    <row r="38" spans="1:16" ht="15" customHeight="1" x14ac:dyDescent="0.25">
      <c r="A38" s="1" t="str">
        <f t="shared" si="1"/>
        <v>2472104-7</v>
      </c>
      <c r="B38" s="35">
        <v>247210</v>
      </c>
      <c r="C38" s="65" t="s">
        <v>40</v>
      </c>
      <c r="D38" s="66" t="s">
        <v>32</v>
      </c>
      <c r="E38" s="67">
        <v>1092</v>
      </c>
      <c r="F38" s="68">
        <f t="shared" si="2"/>
        <v>1321.32</v>
      </c>
      <c r="G38" s="69" t="s">
        <v>24</v>
      </c>
      <c r="H38" s="70" t="s">
        <v>24</v>
      </c>
      <c r="I38" s="71" t="s">
        <v>24</v>
      </c>
      <c r="J38" s="72" t="s">
        <v>24</v>
      </c>
      <c r="K38" s="69">
        <f>$E38/spotřeba!$C$7</f>
        <v>728</v>
      </c>
      <c r="L38" s="70">
        <f>$F38/spotřeba!$C$7</f>
        <v>880.88</v>
      </c>
      <c r="M38" s="71">
        <f>$E38/spotřeba!$C$8</f>
        <v>873.6</v>
      </c>
      <c r="N38" s="72">
        <f>$F38/spotřeba!$C$8</f>
        <v>1057.056</v>
      </c>
      <c r="O38" s="69">
        <f>$E38/spotřeba!$C$9</f>
        <v>1240.909090909091</v>
      </c>
      <c r="P38" s="70">
        <f>$F38/spotřeba!$C$9</f>
        <v>1501.5</v>
      </c>
    </row>
    <row r="39" spans="1:16" ht="15" customHeight="1" x14ac:dyDescent="0.25">
      <c r="A39" s="1" t="str">
        <f t="shared" si="1"/>
        <v>2243502-4</v>
      </c>
      <c r="B39" s="35">
        <v>224350</v>
      </c>
      <c r="C39" s="65" t="s">
        <v>84</v>
      </c>
      <c r="D39" s="66" t="s">
        <v>26</v>
      </c>
      <c r="E39" s="67">
        <v>1164</v>
      </c>
      <c r="F39" s="68">
        <f t="shared" si="2"/>
        <v>1408.44</v>
      </c>
      <c r="G39" s="69">
        <f>$E39/spotřeba!$C$5</f>
        <v>529.09090909090901</v>
      </c>
      <c r="H39" s="70">
        <f>$F39/spotřeba!$C$5</f>
        <v>640.19999999999993</v>
      </c>
      <c r="I39" s="71">
        <f>$E39/spotřeba!$C$6</f>
        <v>646.66666666666663</v>
      </c>
      <c r="J39" s="72">
        <f>$F39/spotřeba!$C$6</f>
        <v>782.4666666666667</v>
      </c>
      <c r="K39" s="69">
        <f>$E39/spotřeba!$C$7</f>
        <v>776</v>
      </c>
      <c r="L39" s="70">
        <f>$F39/spotřeba!$C$7</f>
        <v>938.96</v>
      </c>
      <c r="M39" s="71">
        <f>$E39/spotřeba!$C$8</f>
        <v>931.2</v>
      </c>
      <c r="N39" s="72">
        <f>$F39/spotřeba!$C$8</f>
        <v>1126.752</v>
      </c>
      <c r="O39" s="69">
        <f>$E39/spotřeba!$C$9</f>
        <v>1322.7272727272727</v>
      </c>
      <c r="P39" s="70">
        <f>$F39/spotřeba!$C$9</f>
        <v>1600.5</v>
      </c>
    </row>
    <row r="40" spans="1:16" ht="15" customHeight="1" x14ac:dyDescent="0.25">
      <c r="A40" s="1" t="str">
        <f t="shared" si="1"/>
        <v>2473504-7</v>
      </c>
      <c r="B40" s="35">
        <v>247350</v>
      </c>
      <c r="C40" s="65" t="s">
        <v>84</v>
      </c>
      <c r="D40" s="66" t="s">
        <v>32</v>
      </c>
      <c r="E40" s="67">
        <v>1164</v>
      </c>
      <c r="F40" s="68">
        <f t="shared" si="2"/>
        <v>1408.44</v>
      </c>
      <c r="G40" s="69" t="s">
        <v>24</v>
      </c>
      <c r="H40" s="70" t="s">
        <v>24</v>
      </c>
      <c r="I40" s="71" t="s">
        <v>24</v>
      </c>
      <c r="J40" s="72" t="s">
        <v>24</v>
      </c>
      <c r="K40" s="69">
        <f>$E40/spotřeba!$C$7</f>
        <v>776</v>
      </c>
      <c r="L40" s="70">
        <f>$F40/spotřeba!$C$7</f>
        <v>938.96</v>
      </c>
      <c r="M40" s="71">
        <f>$E40/spotřeba!$C$8</f>
        <v>931.2</v>
      </c>
      <c r="N40" s="72">
        <f>$F40/spotřeba!$C$8</f>
        <v>1126.752</v>
      </c>
      <c r="O40" s="69">
        <f>$E40/spotřeba!$C$9</f>
        <v>1322.7272727272727</v>
      </c>
      <c r="P40" s="70">
        <f>$F40/spotřeba!$C$9</f>
        <v>1600.5</v>
      </c>
    </row>
    <row r="41" spans="1:16" ht="15" customHeight="1" x14ac:dyDescent="0.25">
      <c r="A41" s="1" t="str">
        <f t="shared" si="1"/>
        <v>2242012-4</v>
      </c>
      <c r="B41" s="35">
        <v>224201</v>
      </c>
      <c r="C41" s="65" t="s">
        <v>31</v>
      </c>
      <c r="D41" s="66" t="s">
        <v>26</v>
      </c>
      <c r="E41" s="67">
        <v>1110</v>
      </c>
      <c r="F41" s="68">
        <f t="shared" si="2"/>
        <v>1343.1</v>
      </c>
      <c r="G41" s="69">
        <f>$E41/spotřeba!$C$5</f>
        <v>504.5454545454545</v>
      </c>
      <c r="H41" s="70">
        <f>$F41/spotřeba!$C$5</f>
        <v>610.49999999999989</v>
      </c>
      <c r="I41" s="71">
        <f>$E41/spotřeba!$C$6</f>
        <v>616.66666666666663</v>
      </c>
      <c r="J41" s="72">
        <f>$F41/spotřeba!$C$6</f>
        <v>746.16666666666663</v>
      </c>
      <c r="K41" s="69">
        <f>$E41/spotřeba!$C$7</f>
        <v>740</v>
      </c>
      <c r="L41" s="70">
        <f>$F41/spotřeba!$C$7</f>
        <v>895.4</v>
      </c>
      <c r="M41" s="71">
        <f>$E41/spotřeba!$C$8</f>
        <v>888</v>
      </c>
      <c r="N41" s="72">
        <f>$F41/spotřeba!$C$8</f>
        <v>1074.48</v>
      </c>
      <c r="O41" s="69">
        <f>$E41/spotřeba!$C$9</f>
        <v>1261.3636363636363</v>
      </c>
      <c r="P41" s="70">
        <f>$F41/spotřeba!$C$9</f>
        <v>1526.25</v>
      </c>
    </row>
    <row r="42" spans="1:16" ht="15" customHeight="1" x14ac:dyDescent="0.25">
      <c r="A42" s="1" t="str">
        <f t="shared" si="1"/>
        <v>2472014-7</v>
      </c>
      <c r="B42" s="35">
        <v>247201</v>
      </c>
      <c r="C42" s="65" t="s">
        <v>31</v>
      </c>
      <c r="D42" s="66" t="s">
        <v>32</v>
      </c>
      <c r="E42" s="67">
        <v>1110</v>
      </c>
      <c r="F42" s="68">
        <f t="shared" si="2"/>
        <v>1343.1</v>
      </c>
      <c r="G42" s="69" t="s">
        <v>24</v>
      </c>
      <c r="H42" s="70" t="s">
        <v>24</v>
      </c>
      <c r="I42" s="71" t="s">
        <v>24</v>
      </c>
      <c r="J42" s="72" t="s">
        <v>24</v>
      </c>
      <c r="K42" s="69">
        <f>$E42/spotřeba!$C$7</f>
        <v>740</v>
      </c>
      <c r="L42" s="70">
        <f>$F42/spotřeba!$C$7</f>
        <v>895.4</v>
      </c>
      <c r="M42" s="71">
        <f>$E42/spotřeba!$C$8</f>
        <v>888</v>
      </c>
      <c r="N42" s="72">
        <f>$F42/spotřeba!$C$8</f>
        <v>1074.48</v>
      </c>
      <c r="O42" s="69">
        <f>$E42/spotřeba!$C$9</f>
        <v>1261.3636363636363</v>
      </c>
      <c r="P42" s="70">
        <f>$F42/spotřeba!$C$9</f>
        <v>1526.25</v>
      </c>
    </row>
    <row r="43" spans="1:16" ht="15" customHeight="1" x14ac:dyDescent="0.25">
      <c r="A43" s="1" t="str">
        <f t="shared" si="1"/>
        <v>2243242-4</v>
      </c>
      <c r="B43" s="35">
        <v>224324</v>
      </c>
      <c r="C43" s="65" t="s">
        <v>64</v>
      </c>
      <c r="D43" s="66" t="s">
        <v>26</v>
      </c>
      <c r="E43" s="67">
        <v>1164</v>
      </c>
      <c r="F43" s="68">
        <f t="shared" si="2"/>
        <v>1408.44</v>
      </c>
      <c r="G43" s="69">
        <f>$E43/spotřeba!$C$5</f>
        <v>529.09090909090901</v>
      </c>
      <c r="H43" s="70">
        <f>$F43/spotřeba!$C$5</f>
        <v>640.19999999999993</v>
      </c>
      <c r="I43" s="71">
        <f>$E43/spotřeba!$C$6</f>
        <v>646.66666666666663</v>
      </c>
      <c r="J43" s="72">
        <f>$F43/spotřeba!$C$6</f>
        <v>782.4666666666667</v>
      </c>
      <c r="K43" s="69">
        <f>$E43/spotřeba!$C$7</f>
        <v>776</v>
      </c>
      <c r="L43" s="70">
        <f>$F43/spotřeba!$C$7</f>
        <v>938.96</v>
      </c>
      <c r="M43" s="71">
        <f>$E43/spotřeba!$C$8</f>
        <v>931.2</v>
      </c>
      <c r="N43" s="72">
        <f>$F43/spotřeba!$C$8</f>
        <v>1126.752</v>
      </c>
      <c r="O43" s="69">
        <f>$E43/spotřeba!$C$9</f>
        <v>1322.7272727272727</v>
      </c>
      <c r="P43" s="70">
        <f>$F43/spotřeba!$C$9</f>
        <v>1600.5</v>
      </c>
    </row>
    <row r="44" spans="1:16" ht="15" customHeight="1" x14ac:dyDescent="0.25">
      <c r="A44" s="1" t="str">
        <f t="shared" si="1"/>
        <v>2473244-7</v>
      </c>
      <c r="B44" s="35">
        <v>247324</v>
      </c>
      <c r="C44" s="65" t="s">
        <v>64</v>
      </c>
      <c r="D44" s="66" t="s">
        <v>32</v>
      </c>
      <c r="E44" s="67">
        <v>1164</v>
      </c>
      <c r="F44" s="68">
        <f t="shared" si="2"/>
        <v>1408.44</v>
      </c>
      <c r="G44" s="69" t="s">
        <v>24</v>
      </c>
      <c r="H44" s="70" t="s">
        <v>24</v>
      </c>
      <c r="I44" s="71" t="s">
        <v>24</v>
      </c>
      <c r="J44" s="72" t="s">
        <v>24</v>
      </c>
      <c r="K44" s="69">
        <f>$E44/spotřeba!$C$7</f>
        <v>776</v>
      </c>
      <c r="L44" s="70">
        <f>$F44/spotřeba!$C$7</f>
        <v>938.96</v>
      </c>
      <c r="M44" s="71">
        <f>$E44/spotřeba!$C$8</f>
        <v>931.2</v>
      </c>
      <c r="N44" s="72">
        <f>$F44/spotřeba!$C$8</f>
        <v>1126.752</v>
      </c>
      <c r="O44" s="69">
        <f>$E44/spotřeba!$C$9</f>
        <v>1322.7272727272727</v>
      </c>
      <c r="P44" s="70">
        <f>$F44/spotřeba!$C$9</f>
        <v>1600.5</v>
      </c>
    </row>
    <row r="45" spans="1:16" ht="15" customHeight="1" x14ac:dyDescent="0.25">
      <c r="A45" s="1" t="str">
        <f t="shared" si="1"/>
        <v>2243312-4</v>
      </c>
      <c r="B45" s="35">
        <v>224331</v>
      </c>
      <c r="C45" s="65" t="s">
        <v>70</v>
      </c>
      <c r="D45" s="66" t="s">
        <v>26</v>
      </c>
      <c r="E45" s="67">
        <v>1164</v>
      </c>
      <c r="F45" s="68">
        <f t="shared" si="2"/>
        <v>1408.44</v>
      </c>
      <c r="G45" s="69">
        <f>$E45/spotřeba!$C$5</f>
        <v>529.09090909090901</v>
      </c>
      <c r="H45" s="70">
        <f>$F45/spotřeba!$C$5</f>
        <v>640.19999999999993</v>
      </c>
      <c r="I45" s="71">
        <f>$E45/spotřeba!$C$6</f>
        <v>646.66666666666663</v>
      </c>
      <c r="J45" s="72">
        <f>$F45/spotřeba!$C$6</f>
        <v>782.4666666666667</v>
      </c>
      <c r="K45" s="69">
        <f>$E45/spotřeba!$C$7</f>
        <v>776</v>
      </c>
      <c r="L45" s="70">
        <f>$F45/spotřeba!$C$7</f>
        <v>938.96</v>
      </c>
      <c r="M45" s="71">
        <f>$E45/spotřeba!$C$8</f>
        <v>931.2</v>
      </c>
      <c r="N45" s="72">
        <f>$F45/spotřeba!$C$8</f>
        <v>1126.752</v>
      </c>
      <c r="O45" s="69">
        <f>$E45/spotřeba!$C$9</f>
        <v>1322.7272727272727</v>
      </c>
      <c r="P45" s="70">
        <f>$F45/spotřeba!$C$9</f>
        <v>1600.5</v>
      </c>
    </row>
    <row r="46" spans="1:16" ht="15" customHeight="1" x14ac:dyDescent="0.25">
      <c r="A46" s="1" t="str">
        <f t="shared" si="1"/>
        <v>2473314-7</v>
      </c>
      <c r="B46" s="35">
        <v>247331</v>
      </c>
      <c r="C46" s="65" t="s">
        <v>70</v>
      </c>
      <c r="D46" s="66" t="s">
        <v>32</v>
      </c>
      <c r="E46" s="67">
        <v>1164</v>
      </c>
      <c r="F46" s="68">
        <f t="shared" si="2"/>
        <v>1408.44</v>
      </c>
      <c r="G46" s="69" t="s">
        <v>24</v>
      </c>
      <c r="H46" s="70" t="s">
        <v>24</v>
      </c>
      <c r="I46" s="71" t="s">
        <v>24</v>
      </c>
      <c r="J46" s="72" t="s">
        <v>24</v>
      </c>
      <c r="K46" s="69">
        <f>$E46/spotřeba!$C$7</f>
        <v>776</v>
      </c>
      <c r="L46" s="70">
        <f>$F46/spotřeba!$C$7</f>
        <v>938.96</v>
      </c>
      <c r="M46" s="71">
        <f>$E46/spotřeba!$C$8</f>
        <v>931.2</v>
      </c>
      <c r="N46" s="72">
        <f>$F46/spotřeba!$C$8</f>
        <v>1126.752</v>
      </c>
      <c r="O46" s="69">
        <f>$E46/spotřeba!$C$9</f>
        <v>1322.7272727272727</v>
      </c>
      <c r="P46" s="70">
        <f>$F46/spotřeba!$C$9</f>
        <v>1600.5</v>
      </c>
    </row>
    <row r="47" spans="1:16" ht="15" customHeight="1" x14ac:dyDescent="0.25">
      <c r="A47" s="1" t="str">
        <f t="shared" si="1"/>
        <v>2243102-4</v>
      </c>
      <c r="B47" s="35">
        <v>224310</v>
      </c>
      <c r="C47" s="26" t="s">
        <v>55</v>
      </c>
      <c r="D47" s="66" t="s">
        <v>26</v>
      </c>
      <c r="E47" s="67">
        <v>1164</v>
      </c>
      <c r="F47" s="68">
        <f t="shared" si="2"/>
        <v>1408.44</v>
      </c>
      <c r="G47" s="69">
        <f>$E47/spotřeba!$C$5</f>
        <v>529.09090909090901</v>
      </c>
      <c r="H47" s="70">
        <f>$F47/spotřeba!$C$5</f>
        <v>640.19999999999993</v>
      </c>
      <c r="I47" s="71">
        <f>$E47/spotřeba!$C$6</f>
        <v>646.66666666666663</v>
      </c>
      <c r="J47" s="72">
        <f>$F47/spotřeba!$C$6</f>
        <v>782.4666666666667</v>
      </c>
      <c r="K47" s="69">
        <f>$E47/spotřeba!$C$7</f>
        <v>776</v>
      </c>
      <c r="L47" s="70">
        <f>$F47/spotřeba!$C$7</f>
        <v>938.96</v>
      </c>
      <c r="M47" s="71">
        <f>$E47/spotřeba!$C$8</f>
        <v>931.2</v>
      </c>
      <c r="N47" s="72">
        <f>$F47/spotřeba!$C$8</f>
        <v>1126.752</v>
      </c>
      <c r="O47" s="69">
        <f>$E47/spotřeba!$C$9</f>
        <v>1322.7272727272727</v>
      </c>
      <c r="P47" s="70">
        <f>$F47/spotřeba!$C$9</f>
        <v>1600.5</v>
      </c>
    </row>
    <row r="48" spans="1:16" ht="15" customHeight="1" x14ac:dyDescent="0.25">
      <c r="A48" s="1" t="str">
        <f t="shared" si="1"/>
        <v>2473104-7</v>
      </c>
      <c r="B48" s="35">
        <v>247310</v>
      </c>
      <c r="C48" s="26" t="s">
        <v>55</v>
      </c>
      <c r="D48" s="66" t="s">
        <v>32</v>
      </c>
      <c r="E48" s="67">
        <v>1164</v>
      </c>
      <c r="F48" s="68">
        <f t="shared" si="2"/>
        <v>1408.44</v>
      </c>
      <c r="G48" s="69" t="s">
        <v>24</v>
      </c>
      <c r="H48" s="70" t="s">
        <v>24</v>
      </c>
      <c r="I48" s="71" t="s">
        <v>24</v>
      </c>
      <c r="J48" s="72" t="s">
        <v>24</v>
      </c>
      <c r="K48" s="69">
        <f>$E48/spotřeba!$C$7</f>
        <v>776</v>
      </c>
      <c r="L48" s="70">
        <f>$F48/spotřeba!$C$7</f>
        <v>938.96</v>
      </c>
      <c r="M48" s="71">
        <f>$E48/spotřeba!$C$8</f>
        <v>931.2</v>
      </c>
      <c r="N48" s="72">
        <f>$F48/spotřeba!$C$8</f>
        <v>1126.752</v>
      </c>
      <c r="O48" s="69">
        <f>$E48/spotřeba!$C$9</f>
        <v>1322.7272727272727</v>
      </c>
      <c r="P48" s="70">
        <f>$F48/spotřeba!$C$9</f>
        <v>1600.5</v>
      </c>
    </row>
    <row r="49" spans="1:16" ht="15" customHeight="1" x14ac:dyDescent="0.25">
      <c r="A49" s="1" t="str">
        <f t="shared" si="1"/>
        <v>2243422-4</v>
      </c>
      <c r="B49" s="35">
        <v>224342</v>
      </c>
      <c r="C49" s="65" t="s">
        <v>80</v>
      </c>
      <c r="D49" s="66" t="s">
        <v>26</v>
      </c>
      <c r="E49" s="67">
        <v>1164</v>
      </c>
      <c r="F49" s="68">
        <f t="shared" si="2"/>
        <v>1408.44</v>
      </c>
      <c r="G49" s="69">
        <f>$E49/spotřeba!$C$5</f>
        <v>529.09090909090901</v>
      </c>
      <c r="H49" s="70">
        <f>$F49/spotřeba!$C$5</f>
        <v>640.19999999999993</v>
      </c>
      <c r="I49" s="71">
        <f>$E49/spotřeba!$C$6</f>
        <v>646.66666666666663</v>
      </c>
      <c r="J49" s="72">
        <f>$F49/spotřeba!$C$6</f>
        <v>782.4666666666667</v>
      </c>
      <c r="K49" s="69">
        <f>$E49/spotřeba!$C$7</f>
        <v>776</v>
      </c>
      <c r="L49" s="70">
        <f>$F49/spotřeba!$C$7</f>
        <v>938.96</v>
      </c>
      <c r="M49" s="71">
        <f>$E49/spotřeba!$C$8</f>
        <v>931.2</v>
      </c>
      <c r="N49" s="72">
        <f>$F49/spotřeba!$C$8</f>
        <v>1126.752</v>
      </c>
      <c r="O49" s="69">
        <f>$E49/spotřeba!$C$9</f>
        <v>1322.7272727272727</v>
      </c>
      <c r="P49" s="70">
        <f>$F49/spotřeba!$C$9</f>
        <v>1600.5</v>
      </c>
    </row>
    <row r="50" spans="1:16" ht="15" customHeight="1" x14ac:dyDescent="0.25">
      <c r="A50" s="1" t="str">
        <f t="shared" si="1"/>
        <v>2473424-7</v>
      </c>
      <c r="B50" s="35">
        <v>247342</v>
      </c>
      <c r="C50" s="65" t="s">
        <v>80</v>
      </c>
      <c r="D50" s="66" t="s">
        <v>32</v>
      </c>
      <c r="E50" s="67">
        <v>1164</v>
      </c>
      <c r="F50" s="68">
        <f t="shared" si="2"/>
        <v>1408.44</v>
      </c>
      <c r="G50" s="69" t="s">
        <v>24</v>
      </c>
      <c r="H50" s="70" t="s">
        <v>24</v>
      </c>
      <c r="I50" s="71" t="s">
        <v>24</v>
      </c>
      <c r="J50" s="72" t="s">
        <v>24</v>
      </c>
      <c r="K50" s="69">
        <f>$E50/spotřeba!$C$7</f>
        <v>776</v>
      </c>
      <c r="L50" s="70">
        <f>$F50/spotřeba!$C$7</f>
        <v>938.96</v>
      </c>
      <c r="M50" s="71">
        <f>$E50/spotřeba!$C$8</f>
        <v>931.2</v>
      </c>
      <c r="N50" s="72">
        <f>$F50/spotřeba!$C$8</f>
        <v>1126.752</v>
      </c>
      <c r="O50" s="69">
        <f>$E50/spotřeba!$C$9</f>
        <v>1322.7272727272727</v>
      </c>
      <c r="P50" s="70">
        <f>$F50/spotřeba!$C$9</f>
        <v>1600.5</v>
      </c>
    </row>
    <row r="51" spans="1:16" ht="15" customHeight="1" x14ac:dyDescent="0.25">
      <c r="A51" s="1" t="str">
        <f t="shared" si="1"/>
        <v>2473222-4</v>
      </c>
      <c r="B51" s="35">
        <v>247322</v>
      </c>
      <c r="C51" s="65" t="s">
        <v>62</v>
      </c>
      <c r="D51" s="66" t="s">
        <v>26</v>
      </c>
      <c r="E51" s="67">
        <v>1164</v>
      </c>
      <c r="F51" s="68">
        <f t="shared" si="2"/>
        <v>1408.44</v>
      </c>
      <c r="G51" s="69">
        <f>$E51/spotřeba!$C$5</f>
        <v>529.09090909090901</v>
      </c>
      <c r="H51" s="70">
        <f>$F51/spotřeba!$C$5</f>
        <v>640.19999999999993</v>
      </c>
      <c r="I51" s="71">
        <f>$E51/spotřeba!$C$6</f>
        <v>646.66666666666663</v>
      </c>
      <c r="J51" s="72">
        <f>$F51/spotřeba!$C$6</f>
        <v>782.4666666666667</v>
      </c>
      <c r="K51" s="69">
        <f>$E51/spotřeba!$C$7</f>
        <v>776</v>
      </c>
      <c r="L51" s="70">
        <f>$F51/spotřeba!$C$7</f>
        <v>938.96</v>
      </c>
      <c r="M51" s="71">
        <f>$E51/spotřeba!$C$8</f>
        <v>931.2</v>
      </c>
      <c r="N51" s="72">
        <f>$F51/spotřeba!$C$8</f>
        <v>1126.752</v>
      </c>
      <c r="O51" s="69">
        <f>$E51/spotřeba!$C$9</f>
        <v>1322.7272727272727</v>
      </c>
      <c r="P51" s="70">
        <f>$F51/spotřeba!$C$9</f>
        <v>1600.5</v>
      </c>
    </row>
    <row r="52" spans="1:16" ht="15" customHeight="1" x14ac:dyDescent="0.25">
      <c r="A52" s="1" t="str">
        <f t="shared" si="1"/>
        <v>2473224-7</v>
      </c>
      <c r="B52" s="35">
        <v>247322</v>
      </c>
      <c r="C52" s="65" t="s">
        <v>62</v>
      </c>
      <c r="D52" s="66" t="s">
        <v>32</v>
      </c>
      <c r="E52" s="67">
        <v>1164</v>
      </c>
      <c r="F52" s="68">
        <f t="shared" si="2"/>
        <v>1408.44</v>
      </c>
      <c r="G52" s="69" t="s">
        <v>24</v>
      </c>
      <c r="H52" s="70" t="s">
        <v>24</v>
      </c>
      <c r="I52" s="71" t="s">
        <v>24</v>
      </c>
      <c r="J52" s="72" t="s">
        <v>24</v>
      </c>
      <c r="K52" s="69">
        <f>$E52/spotřeba!$C$7</f>
        <v>776</v>
      </c>
      <c r="L52" s="70">
        <f>$F52/spotřeba!$C$7</f>
        <v>938.96</v>
      </c>
      <c r="M52" s="71">
        <f>$E52/spotřeba!$C$8</f>
        <v>931.2</v>
      </c>
      <c r="N52" s="72">
        <f>$F52/spotřeba!$C$8</f>
        <v>1126.752</v>
      </c>
      <c r="O52" s="69">
        <f>$E52/spotřeba!$C$9</f>
        <v>1322.7272727272727</v>
      </c>
      <c r="P52" s="70">
        <f>$F52/spotřeba!$C$9</f>
        <v>1600.5</v>
      </c>
    </row>
    <row r="53" spans="1:16" ht="15" customHeight="1" x14ac:dyDescent="0.25">
      <c r="A53" s="1" t="str">
        <f t="shared" si="1"/>
        <v>2243042-4</v>
      </c>
      <c r="B53" s="35">
        <v>224304</v>
      </c>
      <c r="C53" s="65" t="s">
        <v>49</v>
      </c>
      <c r="D53" s="66" t="s">
        <v>26</v>
      </c>
      <c r="E53" s="67">
        <v>1164</v>
      </c>
      <c r="F53" s="68">
        <f t="shared" si="2"/>
        <v>1408.44</v>
      </c>
      <c r="G53" s="69">
        <f>$E53/spotřeba!$C$5</f>
        <v>529.09090909090901</v>
      </c>
      <c r="H53" s="70">
        <f>$F53/spotřeba!$C$5</f>
        <v>640.19999999999993</v>
      </c>
      <c r="I53" s="71">
        <f>$E53/spotřeba!$C$6</f>
        <v>646.66666666666663</v>
      </c>
      <c r="J53" s="72">
        <f>$F53/spotřeba!$C$6</f>
        <v>782.4666666666667</v>
      </c>
      <c r="K53" s="69">
        <f>$E53/spotřeba!$C$7</f>
        <v>776</v>
      </c>
      <c r="L53" s="70">
        <f>$F53/spotřeba!$C$7</f>
        <v>938.96</v>
      </c>
      <c r="M53" s="71">
        <f>$E53/spotřeba!$C$8</f>
        <v>931.2</v>
      </c>
      <c r="N53" s="72">
        <f>$F53/spotřeba!$C$8</f>
        <v>1126.752</v>
      </c>
      <c r="O53" s="69">
        <f>$E53/spotřeba!$C$9</f>
        <v>1322.7272727272727</v>
      </c>
      <c r="P53" s="70">
        <f>$F53/spotřeba!$C$9</f>
        <v>1600.5</v>
      </c>
    </row>
    <row r="54" spans="1:16" ht="15" customHeight="1" x14ac:dyDescent="0.25">
      <c r="A54" s="1" t="str">
        <f t="shared" si="1"/>
        <v>2473044-7</v>
      </c>
      <c r="B54" s="35">
        <v>247304</v>
      </c>
      <c r="C54" s="65" t="s">
        <v>49</v>
      </c>
      <c r="D54" s="66" t="s">
        <v>32</v>
      </c>
      <c r="E54" s="67">
        <v>1164</v>
      </c>
      <c r="F54" s="68">
        <f t="shared" si="2"/>
        <v>1408.44</v>
      </c>
      <c r="G54" s="69" t="s">
        <v>24</v>
      </c>
      <c r="H54" s="70" t="s">
        <v>24</v>
      </c>
      <c r="I54" s="71" t="s">
        <v>24</v>
      </c>
      <c r="J54" s="72" t="s">
        <v>24</v>
      </c>
      <c r="K54" s="69">
        <f>$E54/spotřeba!$C$7</f>
        <v>776</v>
      </c>
      <c r="L54" s="70">
        <f>$F54/spotřeba!$C$7</f>
        <v>938.96</v>
      </c>
      <c r="M54" s="71">
        <f>$E54/spotřeba!$C$8</f>
        <v>931.2</v>
      </c>
      <c r="N54" s="72">
        <f>$F54/spotřeba!$C$8</f>
        <v>1126.752</v>
      </c>
      <c r="O54" s="69">
        <f>$E54/spotřeba!$C$9</f>
        <v>1322.7272727272727</v>
      </c>
      <c r="P54" s="70">
        <f>$F54/spotřeba!$C$9</f>
        <v>1600.5</v>
      </c>
    </row>
    <row r="55" spans="1:16" ht="15" customHeight="1" x14ac:dyDescent="0.25">
      <c r="A55" s="1" t="str">
        <f t="shared" si="1"/>
        <v>2243252-4</v>
      </c>
      <c r="B55" s="35">
        <v>224325</v>
      </c>
      <c r="C55" s="224" t="s">
        <v>65</v>
      </c>
      <c r="D55" s="66" t="s">
        <v>26</v>
      </c>
      <c r="E55" s="67">
        <v>1164</v>
      </c>
      <c r="F55" s="68">
        <f t="shared" si="2"/>
        <v>1408.44</v>
      </c>
      <c r="G55" s="69">
        <f>$E55/spotřeba!$C$5</f>
        <v>529.09090909090901</v>
      </c>
      <c r="H55" s="70">
        <f>$F55/spotřeba!$C$5</f>
        <v>640.19999999999993</v>
      </c>
      <c r="I55" s="71">
        <f>$E55/spotřeba!$C$6</f>
        <v>646.66666666666663</v>
      </c>
      <c r="J55" s="72">
        <f>$F55/spotřeba!$C$6</f>
        <v>782.4666666666667</v>
      </c>
      <c r="K55" s="69">
        <f>$E55/spotřeba!$C$7</f>
        <v>776</v>
      </c>
      <c r="L55" s="70">
        <f>$F55/spotřeba!$C$7</f>
        <v>938.96</v>
      </c>
      <c r="M55" s="71">
        <f>$E55/spotřeba!$C$8</f>
        <v>931.2</v>
      </c>
      <c r="N55" s="72">
        <f>$F55/spotřeba!$C$8</f>
        <v>1126.752</v>
      </c>
      <c r="O55" s="69">
        <f>$E55/spotřeba!$C$9</f>
        <v>1322.7272727272727</v>
      </c>
      <c r="P55" s="70">
        <f>$F55/spotřeba!$C$9</f>
        <v>1600.5</v>
      </c>
    </row>
    <row r="56" spans="1:16" ht="15" customHeight="1" x14ac:dyDescent="0.25">
      <c r="A56" s="1" t="str">
        <f t="shared" ref="A56:A105" si="3">B56&amp;D56</f>
        <v>2473254-7</v>
      </c>
      <c r="B56" s="35">
        <v>247325</v>
      </c>
      <c r="C56" s="224" t="s">
        <v>65</v>
      </c>
      <c r="D56" s="66" t="s">
        <v>32</v>
      </c>
      <c r="E56" s="67">
        <v>1164</v>
      </c>
      <c r="F56" s="68">
        <f t="shared" si="2"/>
        <v>1408.44</v>
      </c>
      <c r="G56" s="69" t="s">
        <v>24</v>
      </c>
      <c r="H56" s="70" t="s">
        <v>24</v>
      </c>
      <c r="I56" s="71" t="s">
        <v>24</v>
      </c>
      <c r="J56" s="72" t="s">
        <v>24</v>
      </c>
      <c r="K56" s="69">
        <f>$E56/spotřeba!$C$7</f>
        <v>776</v>
      </c>
      <c r="L56" s="70">
        <f>$F56/spotřeba!$C$7</f>
        <v>938.96</v>
      </c>
      <c r="M56" s="71">
        <f>$E56/spotřeba!$C$8</f>
        <v>931.2</v>
      </c>
      <c r="N56" s="72">
        <f>$F56/spotřeba!$C$8</f>
        <v>1126.752</v>
      </c>
      <c r="O56" s="69">
        <f>$E56/spotřeba!$C$9</f>
        <v>1322.7272727272727</v>
      </c>
      <c r="P56" s="70">
        <f>$F56/spotřeba!$C$9</f>
        <v>1600.5</v>
      </c>
    </row>
    <row r="57" spans="1:16" ht="15" customHeight="1" x14ac:dyDescent="0.25">
      <c r="A57" s="1" t="str">
        <f t="shared" si="3"/>
        <v>2243082-4</v>
      </c>
      <c r="B57" s="35">
        <v>224308</v>
      </c>
      <c r="C57" s="65" t="s">
        <v>53</v>
      </c>
      <c r="D57" s="66" t="s">
        <v>26</v>
      </c>
      <c r="E57" s="67">
        <v>1164</v>
      </c>
      <c r="F57" s="68">
        <f t="shared" si="2"/>
        <v>1408.44</v>
      </c>
      <c r="G57" s="69">
        <f>$E57/spotřeba!$C$5</f>
        <v>529.09090909090901</v>
      </c>
      <c r="H57" s="70">
        <f>$F57/spotřeba!$C$5</f>
        <v>640.19999999999993</v>
      </c>
      <c r="I57" s="71">
        <f>$E57/spotřeba!$C$6</f>
        <v>646.66666666666663</v>
      </c>
      <c r="J57" s="72">
        <f>$F57/spotřeba!$C$6</f>
        <v>782.4666666666667</v>
      </c>
      <c r="K57" s="69">
        <f>$E57/spotřeba!$C$7</f>
        <v>776</v>
      </c>
      <c r="L57" s="70">
        <f>$F57/spotřeba!$C$7</f>
        <v>938.96</v>
      </c>
      <c r="M57" s="71">
        <f>$E57/spotřeba!$C$8</f>
        <v>931.2</v>
      </c>
      <c r="N57" s="72">
        <f>$F57/spotřeba!$C$8</f>
        <v>1126.752</v>
      </c>
      <c r="O57" s="69">
        <f>$E57/spotřeba!$C$9</f>
        <v>1322.7272727272727</v>
      </c>
      <c r="P57" s="70">
        <f>$F57/spotřeba!$C$9</f>
        <v>1600.5</v>
      </c>
    </row>
    <row r="58" spans="1:16" ht="15" customHeight="1" x14ac:dyDescent="0.25">
      <c r="A58" s="1" t="str">
        <f t="shared" si="3"/>
        <v>2473084-7</v>
      </c>
      <c r="B58" s="35">
        <v>247308</v>
      </c>
      <c r="C58" s="65" t="s">
        <v>53</v>
      </c>
      <c r="D58" s="66" t="s">
        <v>32</v>
      </c>
      <c r="E58" s="67">
        <v>1164</v>
      </c>
      <c r="F58" s="68">
        <f t="shared" si="2"/>
        <v>1408.44</v>
      </c>
      <c r="G58" s="69" t="s">
        <v>24</v>
      </c>
      <c r="H58" s="70" t="s">
        <v>24</v>
      </c>
      <c r="I58" s="71" t="s">
        <v>24</v>
      </c>
      <c r="J58" s="72" t="s">
        <v>24</v>
      </c>
      <c r="K58" s="69">
        <f>$E58/spotřeba!$C$7</f>
        <v>776</v>
      </c>
      <c r="L58" s="70">
        <f>$F58/spotřeba!$C$7</f>
        <v>938.96</v>
      </c>
      <c r="M58" s="71">
        <f>$E58/spotřeba!$C$8</f>
        <v>931.2</v>
      </c>
      <c r="N58" s="72">
        <f>$F58/spotřeba!$C$8</f>
        <v>1126.752</v>
      </c>
      <c r="O58" s="69">
        <f>$E58/spotřeba!$C$9</f>
        <v>1322.7272727272727</v>
      </c>
      <c r="P58" s="70">
        <f>$F58/spotřeba!$C$9</f>
        <v>1600.5</v>
      </c>
    </row>
    <row r="59" spans="1:16" ht="15" customHeight="1" x14ac:dyDescent="0.25">
      <c r="A59" s="1" t="str">
        <f t="shared" si="3"/>
        <v>2243382-4</v>
      </c>
      <c r="B59" s="35">
        <v>224338</v>
      </c>
      <c r="C59" s="65" t="s">
        <v>76</v>
      </c>
      <c r="D59" s="66" t="s">
        <v>26</v>
      </c>
      <c r="E59" s="67">
        <v>1164</v>
      </c>
      <c r="F59" s="68">
        <f t="shared" si="2"/>
        <v>1408.44</v>
      </c>
      <c r="G59" s="69">
        <f>$E59/spotřeba!$C$5</f>
        <v>529.09090909090901</v>
      </c>
      <c r="H59" s="70">
        <f>$F59/spotřeba!$C$5</f>
        <v>640.19999999999993</v>
      </c>
      <c r="I59" s="71">
        <f>$E59/spotřeba!$C$6</f>
        <v>646.66666666666663</v>
      </c>
      <c r="J59" s="72">
        <f>$F59/spotřeba!$C$6</f>
        <v>782.4666666666667</v>
      </c>
      <c r="K59" s="69">
        <f>$E59/spotřeba!$C$7</f>
        <v>776</v>
      </c>
      <c r="L59" s="70">
        <f>$F59/spotřeba!$C$7</f>
        <v>938.96</v>
      </c>
      <c r="M59" s="71">
        <f>$E59/spotřeba!$C$8</f>
        <v>931.2</v>
      </c>
      <c r="N59" s="72">
        <f>$F59/spotřeba!$C$8</f>
        <v>1126.752</v>
      </c>
      <c r="O59" s="69">
        <f>$E59/spotřeba!$C$9</f>
        <v>1322.7272727272727</v>
      </c>
      <c r="P59" s="70">
        <f>$F59/spotřeba!$C$9</f>
        <v>1600.5</v>
      </c>
    </row>
    <row r="60" spans="1:16" ht="15" customHeight="1" x14ac:dyDescent="0.25">
      <c r="A60" s="1" t="str">
        <f t="shared" si="3"/>
        <v>2473384-7</v>
      </c>
      <c r="B60" s="35">
        <v>247338</v>
      </c>
      <c r="C60" s="65" t="s">
        <v>76</v>
      </c>
      <c r="D60" s="66" t="s">
        <v>32</v>
      </c>
      <c r="E60" s="67">
        <v>1164</v>
      </c>
      <c r="F60" s="68">
        <f t="shared" si="2"/>
        <v>1408.44</v>
      </c>
      <c r="G60" s="69" t="s">
        <v>24</v>
      </c>
      <c r="H60" s="70" t="s">
        <v>24</v>
      </c>
      <c r="I60" s="71" t="s">
        <v>24</v>
      </c>
      <c r="J60" s="72" t="s">
        <v>24</v>
      </c>
      <c r="K60" s="69">
        <f>$E60/spotřeba!$C$7</f>
        <v>776</v>
      </c>
      <c r="L60" s="70">
        <f>$F60/spotřeba!$C$7</f>
        <v>938.96</v>
      </c>
      <c r="M60" s="71">
        <f>$E60/spotřeba!$C$8</f>
        <v>931.2</v>
      </c>
      <c r="N60" s="72">
        <f>$F60/spotřeba!$C$8</f>
        <v>1126.752</v>
      </c>
      <c r="O60" s="69">
        <f>$E60/spotřeba!$C$9</f>
        <v>1322.7272727272727</v>
      </c>
      <c r="P60" s="70">
        <f>$F60/spotřeba!$C$9</f>
        <v>1600.5</v>
      </c>
    </row>
    <row r="61" spans="1:16" ht="15" customHeight="1" x14ac:dyDescent="0.25">
      <c r="A61" s="1" t="str">
        <f t="shared" si="3"/>
        <v>2243592-4</v>
      </c>
      <c r="B61" s="25">
        <v>224359</v>
      </c>
      <c r="C61" s="65" t="s">
        <v>92</v>
      </c>
      <c r="D61" s="66" t="s">
        <v>26</v>
      </c>
      <c r="E61" s="67">
        <v>1164</v>
      </c>
      <c r="F61" s="68">
        <f t="shared" si="2"/>
        <v>1408.44</v>
      </c>
      <c r="G61" s="69">
        <f>$E61/spotřeba!$C$5</f>
        <v>529.09090909090901</v>
      </c>
      <c r="H61" s="70">
        <f>$F61/spotřeba!$C$5</f>
        <v>640.19999999999993</v>
      </c>
      <c r="I61" s="71">
        <f>$E61/spotřeba!$C$6</f>
        <v>646.66666666666663</v>
      </c>
      <c r="J61" s="72">
        <f>$F61/spotřeba!$C$6</f>
        <v>782.4666666666667</v>
      </c>
      <c r="K61" s="69">
        <f>$E61/spotřeba!$C$7</f>
        <v>776</v>
      </c>
      <c r="L61" s="70">
        <f>$F61/spotřeba!$C$7</f>
        <v>938.96</v>
      </c>
      <c r="M61" s="71">
        <f>$E61/spotřeba!$C$8</f>
        <v>931.2</v>
      </c>
      <c r="N61" s="72">
        <f>$F61/spotřeba!$C$8</f>
        <v>1126.752</v>
      </c>
      <c r="O61" s="69">
        <f>$E61/spotřeba!$C$9</f>
        <v>1322.7272727272727</v>
      </c>
      <c r="P61" s="70">
        <f>$F61/spotřeba!$C$9</f>
        <v>1600.5</v>
      </c>
    </row>
    <row r="62" spans="1:16" ht="15" customHeight="1" x14ac:dyDescent="0.25">
      <c r="A62" s="1" t="str">
        <f t="shared" si="3"/>
        <v>2473594-7</v>
      </c>
      <c r="B62" s="25">
        <v>247359</v>
      </c>
      <c r="C62" s="65" t="s">
        <v>92</v>
      </c>
      <c r="D62" s="66" t="s">
        <v>32</v>
      </c>
      <c r="E62" s="67">
        <v>1164</v>
      </c>
      <c r="F62" s="68">
        <f t="shared" si="2"/>
        <v>1408.44</v>
      </c>
      <c r="G62" s="69" t="s">
        <v>24</v>
      </c>
      <c r="H62" s="70" t="s">
        <v>24</v>
      </c>
      <c r="I62" s="71" t="s">
        <v>24</v>
      </c>
      <c r="J62" s="72" t="s">
        <v>24</v>
      </c>
      <c r="K62" s="69">
        <f>$E62/spotřeba!$C$7</f>
        <v>776</v>
      </c>
      <c r="L62" s="70">
        <f>$F62/spotřeba!$C$7</f>
        <v>938.96</v>
      </c>
      <c r="M62" s="71">
        <f>$E62/spotřeba!$C$8</f>
        <v>931.2</v>
      </c>
      <c r="N62" s="72">
        <f>$F62/spotřeba!$C$8</f>
        <v>1126.752</v>
      </c>
      <c r="O62" s="69">
        <f>$E62/spotřeba!$C$9</f>
        <v>1322.7272727272727</v>
      </c>
      <c r="P62" s="70">
        <f>$F62/spotřeba!$C$9</f>
        <v>1600.5</v>
      </c>
    </row>
    <row r="63" spans="1:16" ht="15" customHeight="1" x14ac:dyDescent="0.25">
      <c r="A63" s="1" t="str">
        <f t="shared" si="3"/>
        <v>2481014-8</v>
      </c>
      <c r="B63" s="35">
        <v>248101</v>
      </c>
      <c r="C63" s="65" t="s">
        <v>22</v>
      </c>
      <c r="D63" s="66" t="s">
        <v>23</v>
      </c>
      <c r="E63" s="67">
        <v>819.6</v>
      </c>
      <c r="F63" s="68">
        <f t="shared" si="2"/>
        <v>991.71600000000001</v>
      </c>
      <c r="G63" s="69" t="s">
        <v>24</v>
      </c>
      <c r="H63" s="70" t="s">
        <v>24</v>
      </c>
      <c r="I63" s="71" t="s">
        <v>24</v>
      </c>
      <c r="J63" s="72" t="s">
        <v>24</v>
      </c>
      <c r="K63" s="69">
        <f>$E63/spotřeba!$C$7</f>
        <v>546.4</v>
      </c>
      <c r="L63" s="70">
        <f>$F63/spotřeba!$C$7</f>
        <v>661.14400000000001</v>
      </c>
      <c r="M63" s="71">
        <f>$E63/spotřeba!$C$8</f>
        <v>655.68000000000006</v>
      </c>
      <c r="N63" s="72">
        <f>$F63/spotřeba!$C$8</f>
        <v>793.37279999999998</v>
      </c>
      <c r="O63" s="69">
        <f>$E63/spotřeba!$C$9</f>
        <v>931.36363636363637</v>
      </c>
      <c r="P63" s="70">
        <f>$F63/spotřeba!$C$9</f>
        <v>1126.95</v>
      </c>
    </row>
    <row r="64" spans="1:16" ht="15" customHeight="1" x14ac:dyDescent="0.25">
      <c r="A64" s="1" t="str">
        <f t="shared" si="3"/>
        <v>2243032-4</v>
      </c>
      <c r="B64" s="35">
        <v>224303</v>
      </c>
      <c r="C64" s="65" t="s">
        <v>48</v>
      </c>
      <c r="D64" s="66" t="s">
        <v>26</v>
      </c>
      <c r="E64" s="67">
        <v>1164</v>
      </c>
      <c r="F64" s="68">
        <f t="shared" si="2"/>
        <v>1408.44</v>
      </c>
      <c r="G64" s="69">
        <f>$E64/spotřeba!$C$5</f>
        <v>529.09090909090901</v>
      </c>
      <c r="H64" s="70">
        <f>$F64/spotřeba!$C$5</f>
        <v>640.19999999999993</v>
      </c>
      <c r="I64" s="71">
        <f>$E64/spotřeba!$C$6</f>
        <v>646.66666666666663</v>
      </c>
      <c r="J64" s="72">
        <f>$F64/spotřeba!$C$6</f>
        <v>782.4666666666667</v>
      </c>
      <c r="K64" s="69">
        <f>$E64/spotřeba!$C$7</f>
        <v>776</v>
      </c>
      <c r="L64" s="70">
        <f>$F64/spotřeba!$C$7</f>
        <v>938.96</v>
      </c>
      <c r="M64" s="71">
        <f>$E64/spotřeba!$C$8</f>
        <v>931.2</v>
      </c>
      <c r="N64" s="72">
        <f>$F64/spotřeba!$C$8</f>
        <v>1126.752</v>
      </c>
      <c r="O64" s="69">
        <f>$E64/spotřeba!$C$9</f>
        <v>1322.7272727272727</v>
      </c>
      <c r="P64" s="70">
        <f>$F64/spotřeba!$C$9</f>
        <v>1600.5</v>
      </c>
    </row>
    <row r="65" spans="1:16" ht="15" customHeight="1" x14ac:dyDescent="0.25">
      <c r="A65" s="1" t="str">
        <f t="shared" si="3"/>
        <v>2473034-7</v>
      </c>
      <c r="B65" s="35">
        <v>247303</v>
      </c>
      <c r="C65" s="65" t="s">
        <v>48</v>
      </c>
      <c r="D65" s="66" t="s">
        <v>32</v>
      </c>
      <c r="E65" s="67">
        <v>1164</v>
      </c>
      <c r="F65" s="68">
        <f t="shared" si="2"/>
        <v>1408.44</v>
      </c>
      <c r="G65" s="69" t="s">
        <v>24</v>
      </c>
      <c r="H65" s="70" t="s">
        <v>24</v>
      </c>
      <c r="I65" s="71" t="s">
        <v>24</v>
      </c>
      <c r="J65" s="72" t="s">
        <v>24</v>
      </c>
      <c r="K65" s="69">
        <f>$E65/spotřeba!$C$7</f>
        <v>776</v>
      </c>
      <c r="L65" s="70">
        <f>$F65/spotřeba!$C$7</f>
        <v>938.96</v>
      </c>
      <c r="M65" s="71">
        <f>$E65/spotřeba!$C$8</f>
        <v>931.2</v>
      </c>
      <c r="N65" s="72">
        <f>$F65/spotřeba!$C$8</f>
        <v>1126.752</v>
      </c>
      <c r="O65" s="69">
        <f>$E65/spotřeba!$C$9</f>
        <v>1322.7272727272727</v>
      </c>
      <c r="P65" s="70">
        <f>$F65/spotřeba!$C$9</f>
        <v>1600.5</v>
      </c>
    </row>
    <row r="66" spans="1:16" ht="15" customHeight="1" x14ac:dyDescent="0.25">
      <c r="A66" s="1" t="str">
        <f t="shared" si="3"/>
        <v>2243012-4</v>
      </c>
      <c r="B66" s="35">
        <v>224301</v>
      </c>
      <c r="C66" s="65" t="s">
        <v>47</v>
      </c>
      <c r="D66" s="66" t="s">
        <v>26</v>
      </c>
      <c r="E66" s="67">
        <v>1164</v>
      </c>
      <c r="F66" s="68">
        <f t="shared" si="2"/>
        <v>1408.44</v>
      </c>
      <c r="G66" s="69">
        <f>$E66/spotřeba!$C$5</f>
        <v>529.09090909090901</v>
      </c>
      <c r="H66" s="70">
        <f>$F66/spotřeba!$C$5</f>
        <v>640.19999999999993</v>
      </c>
      <c r="I66" s="71">
        <f>$E66/spotřeba!$C$6</f>
        <v>646.66666666666663</v>
      </c>
      <c r="J66" s="72">
        <f>$F66/spotřeba!$C$6</f>
        <v>782.4666666666667</v>
      </c>
      <c r="K66" s="69">
        <f>$E66/spotřeba!$C$7</f>
        <v>776</v>
      </c>
      <c r="L66" s="70">
        <f>$F66/spotřeba!$C$7</f>
        <v>938.96</v>
      </c>
      <c r="M66" s="71">
        <f>$E66/spotřeba!$C$8</f>
        <v>931.2</v>
      </c>
      <c r="N66" s="72">
        <f>$F66/spotřeba!$C$8</f>
        <v>1126.752</v>
      </c>
      <c r="O66" s="69">
        <f>$E66/spotřeba!$C$9</f>
        <v>1322.7272727272727</v>
      </c>
      <c r="P66" s="70">
        <f>$F66/spotřeba!$C$9</f>
        <v>1600.5</v>
      </c>
    </row>
    <row r="67" spans="1:16" ht="15" customHeight="1" x14ac:dyDescent="0.25">
      <c r="A67" s="1" t="str">
        <f t="shared" si="3"/>
        <v>2473014-7</v>
      </c>
      <c r="B67" s="35">
        <v>247301</v>
      </c>
      <c r="C67" s="65" t="s">
        <v>47</v>
      </c>
      <c r="D67" s="66" t="s">
        <v>32</v>
      </c>
      <c r="E67" s="67">
        <v>1164</v>
      </c>
      <c r="F67" s="68">
        <f t="shared" si="2"/>
        <v>1408.44</v>
      </c>
      <c r="G67" s="69" t="s">
        <v>24</v>
      </c>
      <c r="H67" s="70" t="s">
        <v>24</v>
      </c>
      <c r="I67" s="71" t="s">
        <v>24</v>
      </c>
      <c r="J67" s="72" t="s">
        <v>24</v>
      </c>
      <c r="K67" s="69">
        <f>$E67/spotřeba!$C$7</f>
        <v>776</v>
      </c>
      <c r="L67" s="70">
        <f>$F67/spotřeba!$C$7</f>
        <v>938.96</v>
      </c>
      <c r="M67" s="71">
        <f>$E67/spotřeba!$C$8</f>
        <v>931.2</v>
      </c>
      <c r="N67" s="72">
        <f>$F67/spotřeba!$C$8</f>
        <v>1126.752</v>
      </c>
      <c r="O67" s="69">
        <f>$E67/spotřeba!$C$9</f>
        <v>1322.7272727272727</v>
      </c>
      <c r="P67" s="70">
        <f>$F67/spotřeba!$C$9</f>
        <v>1600.5</v>
      </c>
    </row>
    <row r="68" spans="1:16" ht="15" customHeight="1" x14ac:dyDescent="0.25">
      <c r="A68" s="1" t="str">
        <f t="shared" si="3"/>
        <v>2243402-4</v>
      </c>
      <c r="B68" s="35">
        <v>224340</v>
      </c>
      <c r="C68" s="65" t="s">
        <v>78</v>
      </c>
      <c r="D68" s="66" t="s">
        <v>26</v>
      </c>
      <c r="E68" s="67">
        <v>1164</v>
      </c>
      <c r="F68" s="68">
        <f t="shared" si="2"/>
        <v>1408.44</v>
      </c>
      <c r="G68" s="69">
        <f>$E68/spotřeba!$C$5</f>
        <v>529.09090909090901</v>
      </c>
      <c r="H68" s="70">
        <f>$F68/spotřeba!$C$5</f>
        <v>640.19999999999993</v>
      </c>
      <c r="I68" s="71">
        <f>$E68/spotřeba!$C$6</f>
        <v>646.66666666666663</v>
      </c>
      <c r="J68" s="72">
        <f>$F68/spotřeba!$C$6</f>
        <v>782.4666666666667</v>
      </c>
      <c r="K68" s="69">
        <f>$E68/spotřeba!$C$7</f>
        <v>776</v>
      </c>
      <c r="L68" s="70">
        <f>$F68/spotřeba!$C$7</f>
        <v>938.96</v>
      </c>
      <c r="M68" s="71">
        <f>$E68/spotřeba!$C$8</f>
        <v>931.2</v>
      </c>
      <c r="N68" s="72">
        <f>$F68/spotřeba!$C$8</f>
        <v>1126.752</v>
      </c>
      <c r="O68" s="69">
        <f>$E68/spotřeba!$C$9</f>
        <v>1322.7272727272727</v>
      </c>
      <c r="P68" s="70">
        <f>$F68/spotřeba!$C$9</f>
        <v>1600.5</v>
      </c>
    </row>
    <row r="69" spans="1:16" ht="15" customHeight="1" x14ac:dyDescent="0.25">
      <c r="A69" s="1" t="str">
        <f t="shared" si="3"/>
        <v>2473404-7</v>
      </c>
      <c r="B69" s="35">
        <v>247340</v>
      </c>
      <c r="C69" s="65" t="s">
        <v>78</v>
      </c>
      <c r="D69" s="66" t="s">
        <v>32</v>
      </c>
      <c r="E69" s="67">
        <v>1164</v>
      </c>
      <c r="F69" s="68">
        <f t="shared" ref="F69:F100" si="4">E69*1.21</f>
        <v>1408.44</v>
      </c>
      <c r="G69" s="69" t="s">
        <v>24</v>
      </c>
      <c r="H69" s="70" t="s">
        <v>24</v>
      </c>
      <c r="I69" s="71" t="s">
        <v>24</v>
      </c>
      <c r="J69" s="72" t="s">
        <v>24</v>
      </c>
      <c r="K69" s="69">
        <f>$E69/spotřeba!$C$7</f>
        <v>776</v>
      </c>
      <c r="L69" s="70">
        <f>$F69/spotřeba!$C$7</f>
        <v>938.96</v>
      </c>
      <c r="M69" s="71">
        <f>$E69/spotřeba!$C$8</f>
        <v>931.2</v>
      </c>
      <c r="N69" s="72">
        <f>$F69/spotřeba!$C$8</f>
        <v>1126.752</v>
      </c>
      <c r="O69" s="69">
        <f>$E69/spotřeba!$C$9</f>
        <v>1322.7272727272727</v>
      </c>
      <c r="P69" s="70">
        <f>$F69/spotřeba!$C$9</f>
        <v>1600.5</v>
      </c>
    </row>
    <row r="70" spans="1:16" ht="15" customHeight="1" x14ac:dyDescent="0.25">
      <c r="A70" s="1" t="str">
        <f t="shared" si="3"/>
        <v>2243132-4</v>
      </c>
      <c r="B70" s="35">
        <v>224313</v>
      </c>
      <c r="C70" s="65" t="s">
        <v>57</v>
      </c>
      <c r="D70" s="66" t="s">
        <v>26</v>
      </c>
      <c r="E70" s="67">
        <v>1164</v>
      </c>
      <c r="F70" s="68">
        <f t="shared" si="4"/>
        <v>1408.44</v>
      </c>
      <c r="G70" s="69">
        <f>$E70/spotřeba!$C$5</f>
        <v>529.09090909090901</v>
      </c>
      <c r="H70" s="70">
        <f>$F70/spotřeba!$C$5</f>
        <v>640.19999999999993</v>
      </c>
      <c r="I70" s="71">
        <f>$E70/spotřeba!$C$6</f>
        <v>646.66666666666663</v>
      </c>
      <c r="J70" s="72">
        <f>$F70/spotřeba!$C$6</f>
        <v>782.4666666666667</v>
      </c>
      <c r="K70" s="69">
        <f>$E70/spotřeba!$C$7</f>
        <v>776</v>
      </c>
      <c r="L70" s="70">
        <f>$F70/spotřeba!$C$7</f>
        <v>938.96</v>
      </c>
      <c r="M70" s="71">
        <f>$E70/spotřeba!$C$8</f>
        <v>931.2</v>
      </c>
      <c r="N70" s="72">
        <f>$F70/spotřeba!$C$8</f>
        <v>1126.752</v>
      </c>
      <c r="O70" s="69">
        <f>$E70/spotřeba!$C$9</f>
        <v>1322.7272727272727</v>
      </c>
      <c r="P70" s="70">
        <f>$F70/spotřeba!$C$9</f>
        <v>1600.5</v>
      </c>
    </row>
    <row r="71" spans="1:16" ht="15" customHeight="1" x14ac:dyDescent="0.25">
      <c r="A71" s="1" t="str">
        <f t="shared" si="3"/>
        <v>2473134-7</v>
      </c>
      <c r="B71" s="35">
        <v>247313</v>
      </c>
      <c r="C71" s="65" t="s">
        <v>57</v>
      </c>
      <c r="D71" s="66" t="s">
        <v>32</v>
      </c>
      <c r="E71" s="67">
        <v>1164</v>
      </c>
      <c r="F71" s="68">
        <f t="shared" si="4"/>
        <v>1408.44</v>
      </c>
      <c r="G71" s="69" t="s">
        <v>24</v>
      </c>
      <c r="H71" s="70" t="s">
        <v>24</v>
      </c>
      <c r="I71" s="71" t="s">
        <v>24</v>
      </c>
      <c r="J71" s="72" t="s">
        <v>24</v>
      </c>
      <c r="K71" s="69">
        <f>$E71/spotřeba!$C$7</f>
        <v>776</v>
      </c>
      <c r="L71" s="70">
        <f>$F71/spotřeba!$C$7</f>
        <v>938.96</v>
      </c>
      <c r="M71" s="71">
        <f>$E71/spotřeba!$C$8</f>
        <v>931.2</v>
      </c>
      <c r="N71" s="72">
        <f>$F71/spotřeba!$C$8</f>
        <v>1126.752</v>
      </c>
      <c r="O71" s="69">
        <f>$E71/spotřeba!$C$9</f>
        <v>1322.7272727272727</v>
      </c>
      <c r="P71" s="70">
        <f>$F71/spotřeba!$C$9</f>
        <v>1600.5</v>
      </c>
    </row>
    <row r="72" spans="1:16" ht="15" customHeight="1" x14ac:dyDescent="0.25">
      <c r="A72" s="1" t="str">
        <f t="shared" si="3"/>
        <v>2243172-4</v>
      </c>
      <c r="B72" s="35">
        <v>224317</v>
      </c>
      <c r="C72" s="65" t="s">
        <v>61</v>
      </c>
      <c r="D72" s="66" t="s">
        <v>26</v>
      </c>
      <c r="E72" s="67">
        <v>1164</v>
      </c>
      <c r="F72" s="68">
        <f t="shared" si="4"/>
        <v>1408.44</v>
      </c>
      <c r="G72" s="69">
        <f>$E72/spotřeba!$C$5</f>
        <v>529.09090909090901</v>
      </c>
      <c r="H72" s="70">
        <f>$F72/spotřeba!$C$5</f>
        <v>640.19999999999993</v>
      </c>
      <c r="I72" s="71">
        <f>$E72/spotřeba!$C$6</f>
        <v>646.66666666666663</v>
      </c>
      <c r="J72" s="72">
        <f>$F72/spotřeba!$C$6</f>
        <v>782.4666666666667</v>
      </c>
      <c r="K72" s="69">
        <f>$E72/spotřeba!$C$7</f>
        <v>776</v>
      </c>
      <c r="L72" s="70">
        <f>$F72/spotřeba!$C$7</f>
        <v>938.96</v>
      </c>
      <c r="M72" s="71">
        <f>$E72/spotřeba!$C$8</f>
        <v>931.2</v>
      </c>
      <c r="N72" s="72">
        <f>$F72/spotřeba!$C$8</f>
        <v>1126.752</v>
      </c>
      <c r="O72" s="69">
        <f>$E72/spotřeba!$C$9</f>
        <v>1322.7272727272727</v>
      </c>
      <c r="P72" s="70">
        <f>$F72/spotřeba!$C$9</f>
        <v>1600.5</v>
      </c>
    </row>
    <row r="73" spans="1:16" ht="15" customHeight="1" x14ac:dyDescent="0.25">
      <c r="A73" s="1" t="str">
        <f t="shared" si="3"/>
        <v>2473174-7</v>
      </c>
      <c r="B73" s="35">
        <v>247317</v>
      </c>
      <c r="C73" s="65" t="s">
        <v>61</v>
      </c>
      <c r="D73" s="66" t="s">
        <v>32</v>
      </c>
      <c r="E73" s="67">
        <v>1164</v>
      </c>
      <c r="F73" s="68">
        <f t="shared" si="4"/>
        <v>1408.44</v>
      </c>
      <c r="G73" s="69" t="s">
        <v>24</v>
      </c>
      <c r="H73" s="70" t="s">
        <v>24</v>
      </c>
      <c r="I73" s="71" t="s">
        <v>24</v>
      </c>
      <c r="J73" s="72" t="s">
        <v>24</v>
      </c>
      <c r="K73" s="69">
        <f>$E73/spotřeba!$C$7</f>
        <v>776</v>
      </c>
      <c r="L73" s="70">
        <f>$F73/spotřeba!$C$7</f>
        <v>938.96</v>
      </c>
      <c r="M73" s="71">
        <f>$E73/spotřeba!$C$8</f>
        <v>931.2</v>
      </c>
      <c r="N73" s="72">
        <f>$F73/spotřeba!$C$8</f>
        <v>1126.752</v>
      </c>
      <c r="O73" s="69">
        <f>$E73/spotřeba!$C$9</f>
        <v>1322.7272727272727</v>
      </c>
      <c r="P73" s="70">
        <f>$F73/spotřeba!$C$9</f>
        <v>1600.5</v>
      </c>
    </row>
    <row r="74" spans="1:16" ht="15" customHeight="1" x14ac:dyDescent="0.25">
      <c r="A74" s="1" t="str">
        <f t="shared" si="3"/>
        <v>2243292-4</v>
      </c>
      <c r="B74" s="35">
        <v>224329</v>
      </c>
      <c r="C74" s="65" t="s">
        <v>68</v>
      </c>
      <c r="D74" s="66" t="s">
        <v>26</v>
      </c>
      <c r="E74" s="67">
        <v>1164</v>
      </c>
      <c r="F74" s="68">
        <f t="shared" si="4"/>
        <v>1408.44</v>
      </c>
      <c r="G74" s="69">
        <f>$E74/spotřeba!$C$5</f>
        <v>529.09090909090901</v>
      </c>
      <c r="H74" s="70">
        <f>$F74/spotřeba!$C$5</f>
        <v>640.19999999999993</v>
      </c>
      <c r="I74" s="71">
        <f>$E74/spotřeba!$C$6</f>
        <v>646.66666666666663</v>
      </c>
      <c r="J74" s="72">
        <f>$F74/spotřeba!$C$6</f>
        <v>782.4666666666667</v>
      </c>
      <c r="K74" s="69">
        <f>$E74/spotřeba!$C$7</f>
        <v>776</v>
      </c>
      <c r="L74" s="70">
        <f>$F74/spotřeba!$C$7</f>
        <v>938.96</v>
      </c>
      <c r="M74" s="71">
        <f>$E74/spotřeba!$C$8</f>
        <v>931.2</v>
      </c>
      <c r="N74" s="72">
        <f>$F74/spotřeba!$C$8</f>
        <v>1126.752</v>
      </c>
      <c r="O74" s="69">
        <f>$E74/spotřeba!$C$9</f>
        <v>1322.7272727272727</v>
      </c>
      <c r="P74" s="70">
        <f>$F74/spotřeba!$C$9</f>
        <v>1600.5</v>
      </c>
    </row>
    <row r="75" spans="1:16" ht="15" customHeight="1" x14ac:dyDescent="0.25">
      <c r="A75" s="1" t="str">
        <f t="shared" si="3"/>
        <v>2473294-7</v>
      </c>
      <c r="B75" s="35">
        <v>247329</v>
      </c>
      <c r="C75" s="65" t="s">
        <v>68</v>
      </c>
      <c r="D75" s="66" t="s">
        <v>32</v>
      </c>
      <c r="E75" s="67">
        <v>1164</v>
      </c>
      <c r="F75" s="68">
        <f t="shared" si="4"/>
        <v>1408.44</v>
      </c>
      <c r="G75" s="69" t="s">
        <v>24</v>
      </c>
      <c r="H75" s="70" t="s">
        <v>24</v>
      </c>
      <c r="I75" s="71" t="s">
        <v>24</v>
      </c>
      <c r="J75" s="72" t="s">
        <v>24</v>
      </c>
      <c r="K75" s="69">
        <f>$E75/spotřeba!$C$7</f>
        <v>776</v>
      </c>
      <c r="L75" s="70">
        <f>$F75/spotřeba!$C$7</f>
        <v>938.96</v>
      </c>
      <c r="M75" s="71">
        <f>$E75/spotřeba!$C$8</f>
        <v>931.2</v>
      </c>
      <c r="N75" s="72">
        <f>$F75/spotřeba!$C$8</f>
        <v>1126.752</v>
      </c>
      <c r="O75" s="69">
        <f>$E75/spotřeba!$C$9</f>
        <v>1322.7272727272727</v>
      </c>
      <c r="P75" s="70">
        <f>$F75/spotřeba!$C$9</f>
        <v>1600.5</v>
      </c>
    </row>
    <row r="76" spans="1:16" ht="15" customHeight="1" x14ac:dyDescent="0.25">
      <c r="A76" s="1" t="str">
        <f t="shared" si="3"/>
        <v>2242142-4</v>
      </c>
      <c r="B76" s="35">
        <v>224214</v>
      </c>
      <c r="C76" s="65" t="s">
        <v>43</v>
      </c>
      <c r="D76" s="66" t="s">
        <v>26</v>
      </c>
      <c r="E76" s="67">
        <v>1140</v>
      </c>
      <c r="F76" s="68">
        <f t="shared" si="4"/>
        <v>1379.3999999999999</v>
      </c>
      <c r="G76" s="69">
        <f>$E76/spotřeba!$C$5</f>
        <v>518.18181818181813</v>
      </c>
      <c r="H76" s="70">
        <f>$F76/spotřeba!$C$5</f>
        <v>626.99999999999989</v>
      </c>
      <c r="I76" s="71">
        <f>$E76/spotřeba!$C$6</f>
        <v>633.33333333333337</v>
      </c>
      <c r="J76" s="72">
        <f>$F76/spotřeba!$C$6</f>
        <v>766.33333333333326</v>
      </c>
      <c r="K76" s="69">
        <f>$E76/spotřeba!$C$7</f>
        <v>760</v>
      </c>
      <c r="L76" s="70">
        <f>$F76/spotřeba!$C$7</f>
        <v>919.59999999999991</v>
      </c>
      <c r="M76" s="71">
        <f>$E76/spotřeba!$C$8</f>
        <v>912</v>
      </c>
      <c r="N76" s="72">
        <f>$F76/spotřeba!$C$8</f>
        <v>1103.52</v>
      </c>
      <c r="O76" s="69">
        <f>$E76/spotřeba!$C$9</f>
        <v>1295.4545454545455</v>
      </c>
      <c r="P76" s="70">
        <f>$F76/spotřeba!$C$9</f>
        <v>1567.4999999999998</v>
      </c>
    </row>
    <row r="77" spans="1:16" ht="15" customHeight="1" x14ac:dyDescent="0.25">
      <c r="A77" s="1" t="str">
        <f t="shared" si="3"/>
        <v>2472144-7</v>
      </c>
      <c r="B77" s="35">
        <v>247214</v>
      </c>
      <c r="C77" s="65" t="s">
        <v>43</v>
      </c>
      <c r="D77" s="66" t="s">
        <v>32</v>
      </c>
      <c r="E77" s="67">
        <v>1140</v>
      </c>
      <c r="F77" s="68">
        <f t="shared" si="4"/>
        <v>1379.3999999999999</v>
      </c>
      <c r="G77" s="69" t="s">
        <v>24</v>
      </c>
      <c r="H77" s="70" t="s">
        <v>24</v>
      </c>
      <c r="I77" s="71" t="s">
        <v>24</v>
      </c>
      <c r="J77" s="72" t="s">
        <v>24</v>
      </c>
      <c r="K77" s="69">
        <f>$E77/spotřeba!$C$7</f>
        <v>760</v>
      </c>
      <c r="L77" s="70">
        <f>$F77/spotřeba!$C$7</f>
        <v>919.59999999999991</v>
      </c>
      <c r="M77" s="71">
        <f>$E77/spotřeba!$C$8</f>
        <v>912</v>
      </c>
      <c r="N77" s="72">
        <f>$F77/spotřeba!$C$8</f>
        <v>1103.52</v>
      </c>
      <c r="O77" s="69">
        <f>$E77/spotřeba!$C$9</f>
        <v>1295.4545454545455</v>
      </c>
      <c r="P77" s="70">
        <f>$F77/spotřeba!$C$9</f>
        <v>1567.4999999999998</v>
      </c>
    </row>
    <row r="78" spans="1:16" ht="15" customHeight="1" x14ac:dyDescent="0.25">
      <c r="A78" s="1" t="str">
        <f t="shared" si="3"/>
        <v>2243512-4</v>
      </c>
      <c r="B78" s="35">
        <v>224351</v>
      </c>
      <c r="C78" s="65" t="s">
        <v>85</v>
      </c>
      <c r="D78" s="66" t="s">
        <v>26</v>
      </c>
      <c r="E78" s="67">
        <v>1164</v>
      </c>
      <c r="F78" s="68">
        <f t="shared" si="4"/>
        <v>1408.44</v>
      </c>
      <c r="G78" s="69">
        <f>$E78/spotřeba!$C$5</f>
        <v>529.09090909090901</v>
      </c>
      <c r="H78" s="70">
        <f>$F78/spotřeba!$C$5</f>
        <v>640.19999999999993</v>
      </c>
      <c r="I78" s="71">
        <f>$E78/spotřeba!$C$6</f>
        <v>646.66666666666663</v>
      </c>
      <c r="J78" s="72">
        <f>$F78/spotřeba!$C$6</f>
        <v>782.4666666666667</v>
      </c>
      <c r="K78" s="69">
        <f>$E78/spotřeba!$C$7</f>
        <v>776</v>
      </c>
      <c r="L78" s="70">
        <f>$F78/spotřeba!$C$7</f>
        <v>938.96</v>
      </c>
      <c r="M78" s="71">
        <f>$E78/spotřeba!$C$8</f>
        <v>931.2</v>
      </c>
      <c r="N78" s="72">
        <f>$F78/spotřeba!$C$8</f>
        <v>1126.752</v>
      </c>
      <c r="O78" s="69">
        <f>$E78/spotřeba!$C$9</f>
        <v>1322.7272727272727</v>
      </c>
      <c r="P78" s="70">
        <f>$F78/spotřeba!$C$9</f>
        <v>1600.5</v>
      </c>
    </row>
    <row r="79" spans="1:16" ht="15" customHeight="1" x14ac:dyDescent="0.25">
      <c r="A79" s="1" t="str">
        <f t="shared" si="3"/>
        <v>2473514-7</v>
      </c>
      <c r="B79" s="35">
        <v>247351</v>
      </c>
      <c r="C79" s="65" t="s">
        <v>85</v>
      </c>
      <c r="D79" s="66" t="s">
        <v>32</v>
      </c>
      <c r="E79" s="67">
        <v>1164</v>
      </c>
      <c r="F79" s="68">
        <f t="shared" si="4"/>
        <v>1408.44</v>
      </c>
      <c r="G79" s="69" t="s">
        <v>24</v>
      </c>
      <c r="H79" s="70" t="s">
        <v>24</v>
      </c>
      <c r="I79" s="71" t="s">
        <v>24</v>
      </c>
      <c r="J79" s="72" t="s">
        <v>24</v>
      </c>
      <c r="K79" s="69">
        <f>$E79/spotřeba!$C$7</f>
        <v>776</v>
      </c>
      <c r="L79" s="70">
        <f>$F79/spotřeba!$C$7</f>
        <v>938.96</v>
      </c>
      <c r="M79" s="71">
        <f>$E79/spotřeba!$C$8</f>
        <v>931.2</v>
      </c>
      <c r="N79" s="72">
        <f>$F79/spotřeba!$C$8</f>
        <v>1126.752</v>
      </c>
      <c r="O79" s="69">
        <f>$E79/spotřeba!$C$9</f>
        <v>1322.7272727272727</v>
      </c>
      <c r="P79" s="70">
        <f>$F79/spotřeba!$C$9</f>
        <v>1600.5</v>
      </c>
    </row>
    <row r="80" spans="1:16" ht="15" customHeight="1" x14ac:dyDescent="0.25">
      <c r="A80" s="1" t="str">
        <f t="shared" si="3"/>
        <v>2243372-4</v>
      </c>
      <c r="B80" s="35">
        <v>224337</v>
      </c>
      <c r="C80" s="65" t="s">
        <v>75</v>
      </c>
      <c r="D80" s="66" t="s">
        <v>26</v>
      </c>
      <c r="E80" s="67">
        <v>1164</v>
      </c>
      <c r="F80" s="68">
        <f t="shared" si="4"/>
        <v>1408.44</v>
      </c>
      <c r="G80" s="69">
        <f>$E80/spotřeba!$C$5</f>
        <v>529.09090909090901</v>
      </c>
      <c r="H80" s="70">
        <f>$F80/spotřeba!$C$5</f>
        <v>640.19999999999993</v>
      </c>
      <c r="I80" s="71">
        <f>$E80/spotřeba!$C$6</f>
        <v>646.66666666666663</v>
      </c>
      <c r="J80" s="72">
        <f>$F80/spotřeba!$C$6</f>
        <v>782.4666666666667</v>
      </c>
      <c r="K80" s="69">
        <f>$E80/spotřeba!$C$7</f>
        <v>776</v>
      </c>
      <c r="L80" s="70">
        <f>$F80/spotřeba!$C$7</f>
        <v>938.96</v>
      </c>
      <c r="M80" s="71">
        <f>$E80/spotřeba!$C$8</f>
        <v>931.2</v>
      </c>
      <c r="N80" s="72">
        <f>$F80/spotřeba!$C$8</f>
        <v>1126.752</v>
      </c>
      <c r="O80" s="69">
        <f>$E80/spotřeba!$C$9</f>
        <v>1322.7272727272727</v>
      </c>
      <c r="P80" s="70">
        <f>$F80/spotřeba!$C$9</f>
        <v>1600.5</v>
      </c>
    </row>
    <row r="81" spans="1:16" ht="15.75" customHeight="1" x14ac:dyDescent="0.25">
      <c r="A81" s="1" t="str">
        <f t="shared" si="3"/>
        <v>2473374-7</v>
      </c>
      <c r="B81" s="35">
        <v>247337</v>
      </c>
      <c r="C81" s="65" t="s">
        <v>75</v>
      </c>
      <c r="D81" s="66" t="s">
        <v>32</v>
      </c>
      <c r="E81" s="67">
        <v>1164</v>
      </c>
      <c r="F81" s="68">
        <f t="shared" si="4"/>
        <v>1408.44</v>
      </c>
      <c r="G81" s="69" t="s">
        <v>24</v>
      </c>
      <c r="H81" s="70" t="s">
        <v>24</v>
      </c>
      <c r="I81" s="71" t="s">
        <v>24</v>
      </c>
      <c r="J81" s="72" t="s">
        <v>24</v>
      </c>
      <c r="K81" s="69">
        <f>$E81/spotřeba!$C$7</f>
        <v>776</v>
      </c>
      <c r="L81" s="70">
        <f>$F81/spotřeba!$C$7</f>
        <v>938.96</v>
      </c>
      <c r="M81" s="71">
        <f>$E81/spotřeba!$C$8</f>
        <v>931.2</v>
      </c>
      <c r="N81" s="72">
        <f>$F81/spotřeba!$C$8</f>
        <v>1126.752</v>
      </c>
      <c r="O81" s="69">
        <f>$E81/spotřeba!$C$9</f>
        <v>1322.7272727272727</v>
      </c>
      <c r="P81" s="70">
        <f>$F81/spotřeba!$C$9</f>
        <v>1600.5</v>
      </c>
    </row>
    <row r="82" spans="1:16" ht="15.75" customHeight="1" x14ac:dyDescent="0.25">
      <c r="A82" s="1" t="str">
        <f t="shared" si="3"/>
        <v>2243532-4</v>
      </c>
      <c r="B82" s="35">
        <v>224353</v>
      </c>
      <c r="C82" s="65" t="s">
        <v>87</v>
      </c>
      <c r="D82" s="66" t="s">
        <v>26</v>
      </c>
      <c r="E82" s="67">
        <v>1164</v>
      </c>
      <c r="F82" s="68">
        <f t="shared" si="4"/>
        <v>1408.44</v>
      </c>
      <c r="G82" s="69">
        <f>$E82/spotřeba!$C$5</f>
        <v>529.09090909090901</v>
      </c>
      <c r="H82" s="70">
        <f>$F82/spotřeba!$C$5</f>
        <v>640.19999999999993</v>
      </c>
      <c r="I82" s="71">
        <f>$E82/spotřeba!$C$6</f>
        <v>646.66666666666663</v>
      </c>
      <c r="J82" s="72">
        <f>$F82/spotřeba!$C$6</f>
        <v>782.4666666666667</v>
      </c>
      <c r="K82" s="69">
        <f>$E82/spotřeba!$C$7</f>
        <v>776</v>
      </c>
      <c r="L82" s="70">
        <f>$F82/spotřeba!$C$7</f>
        <v>938.96</v>
      </c>
      <c r="M82" s="71">
        <f>$E82/spotřeba!$C$8</f>
        <v>931.2</v>
      </c>
      <c r="N82" s="72">
        <f>$F82/spotřeba!$C$8</f>
        <v>1126.752</v>
      </c>
      <c r="O82" s="69">
        <f>$E82/spotřeba!$C$9</f>
        <v>1322.7272727272727</v>
      </c>
      <c r="P82" s="70">
        <f>$F82/spotřeba!$C$9</f>
        <v>1600.5</v>
      </c>
    </row>
    <row r="83" spans="1:16" ht="15.75" customHeight="1" x14ac:dyDescent="0.25">
      <c r="A83" s="1" t="str">
        <f t="shared" si="3"/>
        <v>2473534-7</v>
      </c>
      <c r="B83" s="35">
        <v>247353</v>
      </c>
      <c r="C83" s="65" t="s">
        <v>87</v>
      </c>
      <c r="D83" s="66" t="s">
        <v>32</v>
      </c>
      <c r="E83" s="67">
        <v>1164</v>
      </c>
      <c r="F83" s="68">
        <f t="shared" si="4"/>
        <v>1408.44</v>
      </c>
      <c r="G83" s="69" t="s">
        <v>24</v>
      </c>
      <c r="H83" s="70" t="s">
        <v>24</v>
      </c>
      <c r="I83" s="71" t="s">
        <v>24</v>
      </c>
      <c r="J83" s="72" t="s">
        <v>24</v>
      </c>
      <c r="K83" s="69">
        <f>$E83/spotřeba!$C$7</f>
        <v>776</v>
      </c>
      <c r="L83" s="70">
        <f>$F83/spotřeba!$C$7</f>
        <v>938.96</v>
      </c>
      <c r="M83" s="71">
        <f>$E83/spotřeba!$C$8</f>
        <v>931.2</v>
      </c>
      <c r="N83" s="72">
        <f>$F83/spotřeba!$C$8</f>
        <v>1126.752</v>
      </c>
      <c r="O83" s="69">
        <f>$E83/spotřeba!$C$9</f>
        <v>1322.7272727272727</v>
      </c>
      <c r="P83" s="70">
        <f>$F83/spotřeba!$C$9</f>
        <v>1600.5</v>
      </c>
    </row>
    <row r="84" spans="1:16" ht="15.75" customHeight="1" x14ac:dyDescent="0.25">
      <c r="A84" s="1" t="str">
        <f t="shared" si="3"/>
        <v>2242052-4</v>
      </c>
      <c r="B84" s="35">
        <v>224205</v>
      </c>
      <c r="C84" s="65" t="s">
        <v>36</v>
      </c>
      <c r="D84" s="66" t="s">
        <v>26</v>
      </c>
      <c r="E84" s="67">
        <v>1092</v>
      </c>
      <c r="F84" s="68">
        <f t="shared" si="4"/>
        <v>1321.32</v>
      </c>
      <c r="G84" s="69">
        <f>$E84/spotřeba!$C$5</f>
        <v>496.36363636363632</v>
      </c>
      <c r="H84" s="70">
        <f>$F84/spotřeba!$C$5</f>
        <v>600.59999999999991</v>
      </c>
      <c r="I84" s="71">
        <f>$E84/spotřeba!$C$6</f>
        <v>606.66666666666663</v>
      </c>
      <c r="J84" s="72">
        <f>$F84/spotřeba!$C$6</f>
        <v>734.06666666666661</v>
      </c>
      <c r="K84" s="69">
        <f>$E84/spotřeba!$C$7</f>
        <v>728</v>
      </c>
      <c r="L84" s="70">
        <f>$F84/spotřeba!$C$7</f>
        <v>880.88</v>
      </c>
      <c r="M84" s="71">
        <f>$E84/spotřeba!$C$8</f>
        <v>873.6</v>
      </c>
      <c r="N84" s="72">
        <f>$F84/spotřeba!$C$8</f>
        <v>1057.056</v>
      </c>
      <c r="O84" s="69">
        <f>$E84/spotřeba!$C$9</f>
        <v>1240.909090909091</v>
      </c>
      <c r="P84" s="70">
        <f>$F84/spotřeba!$C$9</f>
        <v>1501.5</v>
      </c>
    </row>
    <row r="85" spans="1:16" ht="15.75" customHeight="1" x14ac:dyDescent="0.25">
      <c r="A85" s="1" t="str">
        <f t="shared" si="3"/>
        <v>2472054-7</v>
      </c>
      <c r="B85" s="35">
        <v>247205</v>
      </c>
      <c r="C85" s="65" t="s">
        <v>36</v>
      </c>
      <c r="D85" s="66" t="s">
        <v>32</v>
      </c>
      <c r="E85" s="67">
        <v>1092</v>
      </c>
      <c r="F85" s="68">
        <f t="shared" si="4"/>
        <v>1321.32</v>
      </c>
      <c r="G85" s="69" t="s">
        <v>24</v>
      </c>
      <c r="H85" s="70" t="s">
        <v>24</v>
      </c>
      <c r="I85" s="71" t="s">
        <v>24</v>
      </c>
      <c r="J85" s="72" t="s">
        <v>24</v>
      </c>
      <c r="K85" s="69">
        <f>$E85/spotřeba!$C$7</f>
        <v>728</v>
      </c>
      <c r="L85" s="70">
        <f>$F85/spotřeba!$C$7</f>
        <v>880.88</v>
      </c>
      <c r="M85" s="71">
        <f>$E85/spotřeba!$C$8</f>
        <v>873.6</v>
      </c>
      <c r="N85" s="72">
        <f>$F85/spotřeba!$C$8</f>
        <v>1057.056</v>
      </c>
      <c r="O85" s="69">
        <f>$E85/spotřeba!$C$9</f>
        <v>1240.909090909091</v>
      </c>
      <c r="P85" s="70">
        <f>$F85/spotřeba!$C$9</f>
        <v>1501.5</v>
      </c>
    </row>
    <row r="86" spans="1:16" ht="15.75" customHeight="1" x14ac:dyDescent="0.25">
      <c r="A86" s="1" t="str">
        <f t="shared" si="3"/>
        <v>2243162-4</v>
      </c>
      <c r="B86" s="35">
        <v>224316</v>
      </c>
      <c r="C86" s="65" t="s">
        <v>60</v>
      </c>
      <c r="D86" s="66" t="s">
        <v>26</v>
      </c>
      <c r="E86" s="67">
        <v>1164</v>
      </c>
      <c r="F86" s="68">
        <f t="shared" si="4"/>
        <v>1408.44</v>
      </c>
      <c r="G86" s="69">
        <f>$E86/spotřeba!$C$5</f>
        <v>529.09090909090901</v>
      </c>
      <c r="H86" s="70">
        <f>$F86/spotřeba!$C$5</f>
        <v>640.19999999999993</v>
      </c>
      <c r="I86" s="71">
        <f>$E86/spotřeba!$C$6</f>
        <v>646.66666666666663</v>
      </c>
      <c r="J86" s="72">
        <f>$F86/spotřeba!$C$6</f>
        <v>782.4666666666667</v>
      </c>
      <c r="K86" s="69">
        <f>$E86/spotřeba!$C$7</f>
        <v>776</v>
      </c>
      <c r="L86" s="70">
        <f>$F86/spotřeba!$C$7</f>
        <v>938.96</v>
      </c>
      <c r="M86" s="71">
        <f>$E86/spotřeba!$C$8</f>
        <v>931.2</v>
      </c>
      <c r="N86" s="72">
        <f>$F86/spotřeba!$C$8</f>
        <v>1126.752</v>
      </c>
      <c r="O86" s="69">
        <f>$E86/spotřeba!$C$9</f>
        <v>1322.7272727272727</v>
      </c>
      <c r="P86" s="70">
        <f>$F86/spotřeba!$C$9</f>
        <v>1600.5</v>
      </c>
    </row>
    <row r="87" spans="1:16" ht="15.75" customHeight="1" x14ac:dyDescent="0.25">
      <c r="A87" s="1" t="str">
        <f t="shared" si="3"/>
        <v>2473164-7</v>
      </c>
      <c r="B87" s="35">
        <v>247316</v>
      </c>
      <c r="C87" s="65" t="s">
        <v>60</v>
      </c>
      <c r="D87" s="66" t="s">
        <v>32</v>
      </c>
      <c r="E87" s="67">
        <v>1164</v>
      </c>
      <c r="F87" s="68">
        <f t="shared" si="4"/>
        <v>1408.44</v>
      </c>
      <c r="G87" s="69" t="s">
        <v>24</v>
      </c>
      <c r="H87" s="70" t="s">
        <v>24</v>
      </c>
      <c r="I87" s="71" t="s">
        <v>24</v>
      </c>
      <c r="J87" s="72" t="s">
        <v>24</v>
      </c>
      <c r="K87" s="69">
        <f>$E87/spotřeba!$C$7</f>
        <v>776</v>
      </c>
      <c r="L87" s="70">
        <f>$F87/spotřeba!$C$7</f>
        <v>938.96</v>
      </c>
      <c r="M87" s="71">
        <f>$E87/spotřeba!$C$8</f>
        <v>931.2</v>
      </c>
      <c r="N87" s="72">
        <f>$F87/spotřeba!$C$8</f>
        <v>1126.752</v>
      </c>
      <c r="O87" s="69">
        <f>$E87/spotřeba!$C$9</f>
        <v>1322.7272727272727</v>
      </c>
      <c r="P87" s="70">
        <f>$F87/spotřeba!$C$9</f>
        <v>1600.5</v>
      </c>
    </row>
    <row r="88" spans="1:16" ht="15.75" customHeight="1" x14ac:dyDescent="0.25">
      <c r="A88" s="1" t="str">
        <f t="shared" si="3"/>
        <v>2243272-4</v>
      </c>
      <c r="B88" s="35">
        <v>224327</v>
      </c>
      <c r="C88" s="65" t="s">
        <v>66</v>
      </c>
      <c r="D88" s="66" t="s">
        <v>26</v>
      </c>
      <c r="E88" s="67">
        <v>1164</v>
      </c>
      <c r="F88" s="68">
        <f t="shared" si="4"/>
        <v>1408.44</v>
      </c>
      <c r="G88" s="69">
        <f>$E88/spotřeba!$C$5</f>
        <v>529.09090909090901</v>
      </c>
      <c r="H88" s="70">
        <f>$F88/spotřeba!$C$5</f>
        <v>640.19999999999993</v>
      </c>
      <c r="I88" s="71">
        <f>$E88/spotřeba!$C$6</f>
        <v>646.66666666666663</v>
      </c>
      <c r="J88" s="72">
        <f>$F88/spotřeba!$C$6</f>
        <v>782.4666666666667</v>
      </c>
      <c r="K88" s="69">
        <f>$E88/spotřeba!$C$7</f>
        <v>776</v>
      </c>
      <c r="L88" s="70">
        <f>$F88/spotřeba!$C$7</f>
        <v>938.96</v>
      </c>
      <c r="M88" s="71">
        <f>$E88/spotřeba!$C$8</f>
        <v>931.2</v>
      </c>
      <c r="N88" s="72">
        <f>$F88/spotřeba!$C$8</f>
        <v>1126.752</v>
      </c>
      <c r="O88" s="69">
        <f>$E88/spotřeba!$C$9</f>
        <v>1322.7272727272727</v>
      </c>
      <c r="P88" s="70">
        <f>$F88/spotřeba!$C$9</f>
        <v>1600.5</v>
      </c>
    </row>
    <row r="89" spans="1:16" ht="15.75" customHeight="1" x14ac:dyDescent="0.25">
      <c r="A89" s="1" t="str">
        <f t="shared" si="3"/>
        <v>2473274-7</v>
      </c>
      <c r="B89" s="35">
        <v>247327</v>
      </c>
      <c r="C89" s="65" t="s">
        <v>66</v>
      </c>
      <c r="D89" s="66" t="s">
        <v>32</v>
      </c>
      <c r="E89" s="67">
        <v>1164</v>
      </c>
      <c r="F89" s="68">
        <f t="shared" si="4"/>
        <v>1408.44</v>
      </c>
      <c r="G89" s="69" t="s">
        <v>24</v>
      </c>
      <c r="H89" s="70" t="s">
        <v>24</v>
      </c>
      <c r="I89" s="71" t="s">
        <v>24</v>
      </c>
      <c r="J89" s="72" t="s">
        <v>24</v>
      </c>
      <c r="K89" s="69">
        <f>$E89/spotřeba!$C$7</f>
        <v>776</v>
      </c>
      <c r="L89" s="70">
        <f>$F89/spotřeba!$C$7</f>
        <v>938.96</v>
      </c>
      <c r="M89" s="71">
        <f>$E89/spotřeba!$C$8</f>
        <v>931.2</v>
      </c>
      <c r="N89" s="72">
        <f>$F89/spotřeba!$C$8</f>
        <v>1126.752</v>
      </c>
      <c r="O89" s="69">
        <f>$E89/spotřeba!$C$9</f>
        <v>1322.7272727272727</v>
      </c>
      <c r="P89" s="70">
        <f>$F89/spotřeba!$C$9</f>
        <v>1600.5</v>
      </c>
    </row>
    <row r="90" spans="1:16" ht="15.75" customHeight="1" x14ac:dyDescent="0.25">
      <c r="A90" s="1" t="str">
        <f t="shared" si="3"/>
        <v>2243582-4</v>
      </c>
      <c r="B90" s="25">
        <v>224358</v>
      </c>
      <c r="C90" s="65" t="s">
        <v>91</v>
      </c>
      <c r="D90" s="66" t="s">
        <v>26</v>
      </c>
      <c r="E90" s="67">
        <v>1164</v>
      </c>
      <c r="F90" s="68">
        <f t="shared" si="4"/>
        <v>1408.44</v>
      </c>
      <c r="G90" s="69">
        <f>$E90/spotřeba!$C$5</f>
        <v>529.09090909090901</v>
      </c>
      <c r="H90" s="70">
        <f>$F90/spotřeba!$C$5</f>
        <v>640.19999999999993</v>
      </c>
      <c r="I90" s="71">
        <f>$E90/spotřeba!$C$6</f>
        <v>646.66666666666663</v>
      </c>
      <c r="J90" s="72">
        <f>$F90/spotřeba!$C$6</f>
        <v>782.4666666666667</v>
      </c>
      <c r="K90" s="69">
        <f>$E90/spotřeba!$C$7</f>
        <v>776</v>
      </c>
      <c r="L90" s="70">
        <f>$F90/spotřeba!$C$7</f>
        <v>938.96</v>
      </c>
      <c r="M90" s="71">
        <f>$E90/spotřeba!$C$8</f>
        <v>931.2</v>
      </c>
      <c r="N90" s="72">
        <f>$F90/spotřeba!$C$8</f>
        <v>1126.752</v>
      </c>
      <c r="O90" s="69">
        <f>$E90/spotřeba!$C$9</f>
        <v>1322.7272727272727</v>
      </c>
      <c r="P90" s="70">
        <f>$F90/spotřeba!$C$9</f>
        <v>1600.5</v>
      </c>
    </row>
    <row r="91" spans="1:16" ht="15.75" customHeight="1" x14ac:dyDescent="0.25">
      <c r="A91" s="1" t="str">
        <f t="shared" si="3"/>
        <v>2473584-7</v>
      </c>
      <c r="B91" s="25">
        <v>247358</v>
      </c>
      <c r="C91" s="65" t="s">
        <v>91</v>
      </c>
      <c r="D91" s="66" t="s">
        <v>32</v>
      </c>
      <c r="E91" s="67">
        <v>1164</v>
      </c>
      <c r="F91" s="68">
        <f t="shared" si="4"/>
        <v>1408.44</v>
      </c>
      <c r="G91" s="69" t="s">
        <v>24</v>
      </c>
      <c r="H91" s="70" t="s">
        <v>24</v>
      </c>
      <c r="I91" s="71" t="s">
        <v>24</v>
      </c>
      <c r="J91" s="72" t="s">
        <v>24</v>
      </c>
      <c r="K91" s="69">
        <f>$E91/spotřeba!$C$7</f>
        <v>776</v>
      </c>
      <c r="L91" s="70">
        <f>$F91/spotřeba!$C$7</f>
        <v>938.96</v>
      </c>
      <c r="M91" s="71">
        <f>$E91/spotřeba!$C$8</f>
        <v>931.2</v>
      </c>
      <c r="N91" s="72">
        <f>$F91/spotřeba!$C$8</f>
        <v>1126.752</v>
      </c>
      <c r="O91" s="69">
        <f>$E91/spotřeba!$C$9</f>
        <v>1322.7272727272727</v>
      </c>
      <c r="P91" s="70">
        <f>$F91/spotřeba!$C$9</f>
        <v>1600.5</v>
      </c>
    </row>
    <row r="92" spans="1:16" ht="15.75" customHeight="1" x14ac:dyDescent="0.25">
      <c r="A92" s="1" t="str">
        <f t="shared" si="3"/>
        <v>2242112-4</v>
      </c>
      <c r="B92" s="35">
        <v>224211</v>
      </c>
      <c r="C92" s="65" t="s">
        <v>41</v>
      </c>
      <c r="D92" s="66" t="s">
        <v>26</v>
      </c>
      <c r="E92" s="67">
        <v>1104</v>
      </c>
      <c r="F92" s="68">
        <f t="shared" si="4"/>
        <v>1335.84</v>
      </c>
      <c r="G92" s="69">
        <f>$E92/spotřeba!$C$5</f>
        <v>501.81818181818176</v>
      </c>
      <c r="H92" s="70">
        <f>$F92/spotřeba!$C$5</f>
        <v>607.19999999999993</v>
      </c>
      <c r="I92" s="71">
        <f>$E92/spotřeba!$C$6</f>
        <v>613.33333333333337</v>
      </c>
      <c r="J92" s="72">
        <f>$F92/spotřeba!$C$6</f>
        <v>742.13333333333333</v>
      </c>
      <c r="K92" s="69">
        <f>$E92/spotřeba!$C$7</f>
        <v>736</v>
      </c>
      <c r="L92" s="70">
        <f>$F92/spotřeba!$C$7</f>
        <v>890.56</v>
      </c>
      <c r="M92" s="71">
        <f>$E92/spotřeba!$C$8</f>
        <v>883.2</v>
      </c>
      <c r="N92" s="72">
        <f>$F92/spotřeba!$C$8</f>
        <v>1068.672</v>
      </c>
      <c r="O92" s="69">
        <f>$E92/spotřeba!$C$9</f>
        <v>1254.5454545454545</v>
      </c>
      <c r="P92" s="70">
        <f>$F92/spotřeba!$C$9</f>
        <v>1518</v>
      </c>
    </row>
    <row r="93" spans="1:16" ht="15.75" customHeight="1" x14ac:dyDescent="0.25">
      <c r="A93" s="1" t="str">
        <f t="shared" si="3"/>
        <v>2472114-7</v>
      </c>
      <c r="B93" s="35">
        <v>247211</v>
      </c>
      <c r="C93" s="65" t="s">
        <v>41</v>
      </c>
      <c r="D93" s="66" t="s">
        <v>32</v>
      </c>
      <c r="E93" s="67">
        <v>1104</v>
      </c>
      <c r="F93" s="68">
        <f t="shared" si="4"/>
        <v>1335.84</v>
      </c>
      <c r="G93" s="69" t="s">
        <v>24</v>
      </c>
      <c r="H93" s="70" t="s">
        <v>24</v>
      </c>
      <c r="I93" s="71" t="s">
        <v>24</v>
      </c>
      <c r="J93" s="72" t="s">
        <v>24</v>
      </c>
      <c r="K93" s="69">
        <f>$E93/spotřeba!$C$7</f>
        <v>736</v>
      </c>
      <c r="L93" s="70">
        <f>$F93/spotřeba!$C$7</f>
        <v>890.56</v>
      </c>
      <c r="M93" s="71">
        <f>$E93/spotřeba!$C$8</f>
        <v>883.2</v>
      </c>
      <c r="N93" s="72">
        <f>$F93/spotřeba!$C$8</f>
        <v>1068.672</v>
      </c>
      <c r="O93" s="69">
        <f>$E93/spotřeba!$C$9</f>
        <v>1254.5454545454545</v>
      </c>
      <c r="P93" s="70">
        <f>$F93/spotřeba!$C$9</f>
        <v>1518</v>
      </c>
    </row>
    <row r="94" spans="1:16" ht="15.75" customHeight="1" x14ac:dyDescent="0.25">
      <c r="A94" s="1" t="str">
        <f t="shared" si="3"/>
        <v>2243342-4</v>
      </c>
      <c r="B94" s="35">
        <v>224334</v>
      </c>
      <c r="C94" s="65" t="s">
        <v>73</v>
      </c>
      <c r="D94" s="66" t="s">
        <v>26</v>
      </c>
      <c r="E94" s="67">
        <v>1164</v>
      </c>
      <c r="F94" s="68">
        <f t="shared" si="4"/>
        <v>1408.44</v>
      </c>
      <c r="G94" s="69">
        <f>$E94/spotřeba!$C$5</f>
        <v>529.09090909090901</v>
      </c>
      <c r="H94" s="70">
        <f>$F94/spotřeba!$C$5</f>
        <v>640.19999999999993</v>
      </c>
      <c r="I94" s="71">
        <f>$E94/spotřeba!$C$6</f>
        <v>646.66666666666663</v>
      </c>
      <c r="J94" s="72">
        <f>$F94/spotřeba!$C$6</f>
        <v>782.4666666666667</v>
      </c>
      <c r="K94" s="69">
        <f>$E94/spotřeba!$C$7</f>
        <v>776</v>
      </c>
      <c r="L94" s="70">
        <f>$F94/spotřeba!$C$7</f>
        <v>938.96</v>
      </c>
      <c r="M94" s="71">
        <f>$E94/spotřeba!$C$8</f>
        <v>931.2</v>
      </c>
      <c r="N94" s="72">
        <f>$F94/spotřeba!$C$8</f>
        <v>1126.752</v>
      </c>
      <c r="O94" s="69">
        <f>$E94/spotřeba!$C$9</f>
        <v>1322.7272727272727</v>
      </c>
      <c r="P94" s="70">
        <f>$F94/spotřeba!$C$9</f>
        <v>1600.5</v>
      </c>
    </row>
    <row r="95" spans="1:16" ht="15.75" customHeight="1" x14ac:dyDescent="0.25">
      <c r="A95" s="1" t="str">
        <f t="shared" si="3"/>
        <v>2473344-7</v>
      </c>
      <c r="B95" s="35">
        <v>247334</v>
      </c>
      <c r="C95" s="65" t="s">
        <v>73</v>
      </c>
      <c r="D95" s="66" t="s">
        <v>32</v>
      </c>
      <c r="E95" s="67">
        <v>1164</v>
      </c>
      <c r="F95" s="68">
        <f t="shared" si="4"/>
        <v>1408.44</v>
      </c>
      <c r="G95" s="69" t="s">
        <v>24</v>
      </c>
      <c r="H95" s="70" t="s">
        <v>24</v>
      </c>
      <c r="I95" s="71" t="s">
        <v>24</v>
      </c>
      <c r="J95" s="72" t="s">
        <v>24</v>
      </c>
      <c r="K95" s="69">
        <f>$E95/spotřeba!$C$7</f>
        <v>776</v>
      </c>
      <c r="L95" s="70">
        <f>$F95/spotřeba!$C$7</f>
        <v>938.96</v>
      </c>
      <c r="M95" s="71">
        <f>$E95/spotřeba!$C$8</f>
        <v>931.2</v>
      </c>
      <c r="N95" s="72">
        <f>$F95/spotřeba!$C$8</f>
        <v>1126.752</v>
      </c>
      <c r="O95" s="69">
        <f>$E95/spotřeba!$C$9</f>
        <v>1322.7272727272727</v>
      </c>
      <c r="P95" s="70">
        <f>$F95/spotřeba!$C$9</f>
        <v>1600.5</v>
      </c>
    </row>
    <row r="96" spans="1:16" ht="15.75" customHeight="1" x14ac:dyDescent="0.25">
      <c r="A96" s="1" t="str">
        <f t="shared" si="3"/>
        <v>2242062-4</v>
      </c>
      <c r="B96" s="35">
        <v>224206</v>
      </c>
      <c r="C96" s="65" t="s">
        <v>37</v>
      </c>
      <c r="D96" s="66" t="s">
        <v>26</v>
      </c>
      <c r="E96" s="67">
        <v>1080</v>
      </c>
      <c r="F96" s="68">
        <f t="shared" si="4"/>
        <v>1306.8</v>
      </c>
      <c r="G96" s="69">
        <f>$E96/spotřeba!$C$5</f>
        <v>490.90909090909088</v>
      </c>
      <c r="H96" s="70">
        <f>$F96/spotřeba!$C$5</f>
        <v>593.99999999999989</v>
      </c>
      <c r="I96" s="71">
        <f>$E96/spotřeba!$C$6</f>
        <v>600</v>
      </c>
      <c r="J96" s="72">
        <f>$F96/spotřeba!$C$6</f>
        <v>726</v>
      </c>
      <c r="K96" s="69">
        <f>$E96/spotřeba!$C$7</f>
        <v>720</v>
      </c>
      <c r="L96" s="70">
        <f>$F96/spotřeba!$C$7</f>
        <v>871.19999999999993</v>
      </c>
      <c r="M96" s="71">
        <f>$E96/spotřeba!$C$8</f>
        <v>864</v>
      </c>
      <c r="N96" s="72">
        <f>$F96/spotřeba!$C$8</f>
        <v>1045.44</v>
      </c>
      <c r="O96" s="69">
        <f>$E96/spotřeba!$C$9</f>
        <v>1227.2727272727273</v>
      </c>
      <c r="P96" s="70">
        <f>$F96/spotřeba!$C$9</f>
        <v>1485</v>
      </c>
    </row>
    <row r="97" spans="1:16" ht="15.75" customHeight="1" x14ac:dyDescent="0.25">
      <c r="A97" s="1" t="str">
        <f t="shared" si="3"/>
        <v>2472064-7</v>
      </c>
      <c r="B97" s="35">
        <v>247206</v>
      </c>
      <c r="C97" s="65" t="s">
        <v>37</v>
      </c>
      <c r="D97" s="66" t="s">
        <v>32</v>
      </c>
      <c r="E97" s="67">
        <v>1080</v>
      </c>
      <c r="F97" s="68">
        <f t="shared" si="4"/>
        <v>1306.8</v>
      </c>
      <c r="G97" s="69" t="s">
        <v>24</v>
      </c>
      <c r="H97" s="70" t="s">
        <v>24</v>
      </c>
      <c r="I97" s="71" t="s">
        <v>24</v>
      </c>
      <c r="J97" s="72" t="s">
        <v>24</v>
      </c>
      <c r="K97" s="69">
        <f>$E97/spotřeba!$C$7</f>
        <v>720</v>
      </c>
      <c r="L97" s="70">
        <f>$F97/spotřeba!$C$7</f>
        <v>871.19999999999993</v>
      </c>
      <c r="M97" s="71">
        <f>$E97/spotřeba!$C$8</f>
        <v>864</v>
      </c>
      <c r="N97" s="72">
        <f>$F97/spotřeba!$C$8</f>
        <v>1045.44</v>
      </c>
      <c r="O97" s="69">
        <f>$E97/spotřeba!$C$9</f>
        <v>1227.2727272727273</v>
      </c>
      <c r="P97" s="70">
        <f>$F97/spotřeba!$C$9</f>
        <v>1485</v>
      </c>
    </row>
    <row r="98" spans="1:16" ht="15.75" customHeight="1" x14ac:dyDescent="0.25">
      <c r="A98" s="1" t="str">
        <f t="shared" si="3"/>
        <v>2242032-4</v>
      </c>
      <c r="B98" s="35">
        <v>224203</v>
      </c>
      <c r="C98" s="65" t="s">
        <v>34</v>
      </c>
      <c r="D98" s="66" t="s">
        <v>26</v>
      </c>
      <c r="E98" s="67">
        <v>1086</v>
      </c>
      <c r="F98" s="68">
        <f t="shared" si="4"/>
        <v>1314.06</v>
      </c>
      <c r="G98" s="69">
        <f>$E98/spotřeba!$C$5</f>
        <v>493.63636363636357</v>
      </c>
      <c r="H98" s="70">
        <f>$F98/spotřeba!$C$5</f>
        <v>597.29999999999995</v>
      </c>
      <c r="I98" s="71">
        <f>$E98/spotřeba!$C$6</f>
        <v>603.33333333333337</v>
      </c>
      <c r="J98" s="72">
        <f>$F98/spotřeba!$C$6</f>
        <v>730.0333333333333</v>
      </c>
      <c r="K98" s="69">
        <f>$E98/spotřeba!$C$7</f>
        <v>724</v>
      </c>
      <c r="L98" s="70">
        <f>$F98/spotřeba!$C$7</f>
        <v>876.04</v>
      </c>
      <c r="M98" s="71">
        <f>$E98/spotřeba!$C$8</f>
        <v>868.8</v>
      </c>
      <c r="N98" s="72">
        <f>$F98/spotřeba!$C$8</f>
        <v>1051.248</v>
      </c>
      <c r="O98" s="69">
        <f>$E98/spotřeba!$C$9</f>
        <v>1234.090909090909</v>
      </c>
      <c r="P98" s="70">
        <f>$F98/spotřeba!$C$9</f>
        <v>1493.25</v>
      </c>
    </row>
    <row r="99" spans="1:16" ht="15.75" customHeight="1" x14ac:dyDescent="0.25">
      <c r="A99" s="1" t="str">
        <f t="shared" si="3"/>
        <v>2472034-7</v>
      </c>
      <c r="B99" s="35">
        <v>247203</v>
      </c>
      <c r="C99" s="65" t="s">
        <v>34</v>
      </c>
      <c r="D99" s="66" t="s">
        <v>32</v>
      </c>
      <c r="E99" s="67">
        <v>1086</v>
      </c>
      <c r="F99" s="68">
        <f t="shared" si="4"/>
        <v>1314.06</v>
      </c>
      <c r="G99" s="69" t="s">
        <v>24</v>
      </c>
      <c r="H99" s="70" t="s">
        <v>24</v>
      </c>
      <c r="I99" s="71" t="s">
        <v>24</v>
      </c>
      <c r="J99" s="72" t="s">
        <v>24</v>
      </c>
      <c r="K99" s="69">
        <f>$E99/spotřeba!$C$7</f>
        <v>724</v>
      </c>
      <c r="L99" s="70">
        <f>$F99/spotřeba!$C$7</f>
        <v>876.04</v>
      </c>
      <c r="M99" s="71">
        <f>$E99/spotřeba!$C$8</f>
        <v>868.8</v>
      </c>
      <c r="N99" s="72">
        <f>$F99/spotřeba!$C$8</f>
        <v>1051.248</v>
      </c>
      <c r="O99" s="69">
        <f>$E99/spotřeba!$C$9</f>
        <v>1234.090909090909</v>
      </c>
      <c r="P99" s="70">
        <f>$F99/spotřeba!$C$9</f>
        <v>1493.25</v>
      </c>
    </row>
    <row r="100" spans="1:16" ht="15.75" customHeight="1" x14ac:dyDescent="0.25">
      <c r="A100" s="1" t="str">
        <f t="shared" si="3"/>
        <v>2243602-4</v>
      </c>
      <c r="B100" s="25">
        <v>224360</v>
      </c>
      <c r="C100" s="65" t="s">
        <v>93</v>
      </c>
      <c r="D100" s="66" t="s">
        <v>26</v>
      </c>
      <c r="E100" s="67">
        <v>1164</v>
      </c>
      <c r="F100" s="68">
        <f t="shared" si="4"/>
        <v>1408.44</v>
      </c>
      <c r="G100" s="69">
        <f>$E100/spotřeba!$C$5</f>
        <v>529.09090909090901</v>
      </c>
      <c r="H100" s="70">
        <f>$F100/spotřeba!$C$5</f>
        <v>640.19999999999993</v>
      </c>
      <c r="I100" s="71">
        <f>$E100/spotřeba!$C$6</f>
        <v>646.66666666666663</v>
      </c>
      <c r="J100" s="72">
        <f>$F100/spotřeba!$C$6</f>
        <v>782.4666666666667</v>
      </c>
      <c r="K100" s="69">
        <f>$E100/spotřeba!$C$7</f>
        <v>776</v>
      </c>
      <c r="L100" s="70">
        <f>$F100/spotřeba!$C$7</f>
        <v>938.96</v>
      </c>
      <c r="M100" s="71">
        <f>$E100/spotřeba!$C$8</f>
        <v>931.2</v>
      </c>
      <c r="N100" s="72">
        <f>$F100/spotřeba!$C$8</f>
        <v>1126.752</v>
      </c>
      <c r="O100" s="69">
        <f>$E100/spotřeba!$C$9</f>
        <v>1322.7272727272727</v>
      </c>
      <c r="P100" s="70">
        <f>$F100/spotřeba!$C$9</f>
        <v>1600.5</v>
      </c>
    </row>
    <row r="101" spans="1:16" ht="15.75" customHeight="1" x14ac:dyDescent="0.25">
      <c r="A101" s="1" t="str">
        <f t="shared" si="3"/>
        <v>2473604-7</v>
      </c>
      <c r="B101" s="25">
        <v>247360</v>
      </c>
      <c r="C101" s="65" t="s">
        <v>93</v>
      </c>
      <c r="D101" s="66" t="s">
        <v>32</v>
      </c>
      <c r="E101" s="67">
        <v>1164</v>
      </c>
      <c r="F101" s="68">
        <f t="shared" ref="F101:F132" si="5">E101*1.21</f>
        <v>1408.44</v>
      </c>
      <c r="G101" s="69" t="s">
        <v>24</v>
      </c>
      <c r="H101" s="70" t="s">
        <v>24</v>
      </c>
      <c r="I101" s="71" t="s">
        <v>24</v>
      </c>
      <c r="J101" s="72" t="s">
        <v>24</v>
      </c>
      <c r="K101" s="69">
        <f>$E101/spotřeba!$C$7</f>
        <v>776</v>
      </c>
      <c r="L101" s="70">
        <f>$F101/spotřeba!$C$7</f>
        <v>938.96</v>
      </c>
      <c r="M101" s="71">
        <f>$E101/spotřeba!$C$8</f>
        <v>931.2</v>
      </c>
      <c r="N101" s="72">
        <f>$F101/spotřeba!$C$8</f>
        <v>1126.752</v>
      </c>
      <c r="O101" s="69">
        <f>$E101/spotřeba!$C$9</f>
        <v>1322.7272727272727</v>
      </c>
      <c r="P101" s="70">
        <f>$F101/spotřeba!$C$9</f>
        <v>1600.5</v>
      </c>
    </row>
    <row r="102" spans="1:16" ht="15.75" customHeight="1" x14ac:dyDescent="0.25">
      <c r="A102" s="1" t="str">
        <f t="shared" si="3"/>
        <v>2243572-4</v>
      </c>
      <c r="B102" s="25">
        <v>224357</v>
      </c>
      <c r="C102" s="65" t="s">
        <v>90</v>
      </c>
      <c r="D102" s="66" t="s">
        <v>26</v>
      </c>
      <c r="E102" s="67">
        <v>1164</v>
      </c>
      <c r="F102" s="68">
        <f t="shared" si="5"/>
        <v>1408.44</v>
      </c>
      <c r="G102" s="69">
        <f>$E102/spotřeba!$C$5</f>
        <v>529.09090909090901</v>
      </c>
      <c r="H102" s="70">
        <f>$F102/spotřeba!$C$5</f>
        <v>640.19999999999993</v>
      </c>
      <c r="I102" s="71">
        <f>$E102/spotřeba!$C$6</f>
        <v>646.66666666666663</v>
      </c>
      <c r="J102" s="72">
        <f>$F102/spotřeba!$C$6</f>
        <v>782.4666666666667</v>
      </c>
      <c r="K102" s="69">
        <f>$E102/spotřeba!$C$7</f>
        <v>776</v>
      </c>
      <c r="L102" s="70">
        <f>$F102/spotřeba!$C$7</f>
        <v>938.96</v>
      </c>
      <c r="M102" s="71">
        <f>$E102/spotřeba!$C$8</f>
        <v>931.2</v>
      </c>
      <c r="N102" s="72">
        <f>$F102/spotřeba!$C$8</f>
        <v>1126.752</v>
      </c>
      <c r="O102" s="69">
        <f>$E102/spotřeba!$C$9</f>
        <v>1322.7272727272727</v>
      </c>
      <c r="P102" s="70">
        <f>$F102/spotřeba!$C$9</f>
        <v>1600.5</v>
      </c>
    </row>
    <row r="103" spans="1:16" ht="15.75" customHeight="1" x14ac:dyDescent="0.25">
      <c r="A103" s="1" t="str">
        <f t="shared" si="3"/>
        <v>2473574-7</v>
      </c>
      <c r="B103" s="25">
        <v>247357</v>
      </c>
      <c r="C103" s="65" t="s">
        <v>90</v>
      </c>
      <c r="D103" s="66" t="s">
        <v>32</v>
      </c>
      <c r="E103" s="67">
        <v>1164</v>
      </c>
      <c r="F103" s="68">
        <f t="shared" si="5"/>
        <v>1408.44</v>
      </c>
      <c r="G103" s="69" t="s">
        <v>24</v>
      </c>
      <c r="H103" s="70" t="s">
        <v>24</v>
      </c>
      <c r="I103" s="71" t="s">
        <v>24</v>
      </c>
      <c r="J103" s="72" t="s">
        <v>24</v>
      </c>
      <c r="K103" s="69">
        <f>$E103/spotřeba!$C$7</f>
        <v>776</v>
      </c>
      <c r="L103" s="70">
        <f>$F103/spotřeba!$C$7</f>
        <v>938.96</v>
      </c>
      <c r="M103" s="71">
        <f>$E103/spotřeba!$C$8</f>
        <v>931.2</v>
      </c>
      <c r="N103" s="72">
        <f>$F103/spotřeba!$C$8</f>
        <v>1126.752</v>
      </c>
      <c r="O103" s="69">
        <f>$E103/spotřeba!$C$9</f>
        <v>1322.7272727272727</v>
      </c>
      <c r="P103" s="70">
        <f>$F103/spotřeba!$C$9</f>
        <v>1600.5</v>
      </c>
    </row>
    <row r="104" spans="1:16" ht="15.75" customHeight="1" x14ac:dyDescent="0.25">
      <c r="A104" s="1" t="str">
        <f t="shared" si="3"/>
        <v>2243362-4</v>
      </c>
      <c r="B104" s="35">
        <v>224336</v>
      </c>
      <c r="C104" s="65" t="s">
        <v>74</v>
      </c>
      <c r="D104" s="66" t="s">
        <v>26</v>
      </c>
      <c r="E104" s="67">
        <v>1164</v>
      </c>
      <c r="F104" s="68">
        <f t="shared" si="5"/>
        <v>1408.44</v>
      </c>
      <c r="G104" s="69">
        <f>$E104/spotřeba!$C$5</f>
        <v>529.09090909090901</v>
      </c>
      <c r="H104" s="70">
        <f>$F104/spotřeba!$C$5</f>
        <v>640.19999999999993</v>
      </c>
      <c r="I104" s="71">
        <f>$E104/spotřeba!$C$6</f>
        <v>646.66666666666663</v>
      </c>
      <c r="J104" s="72">
        <f>$F104/spotřeba!$C$6</f>
        <v>782.4666666666667</v>
      </c>
      <c r="K104" s="69">
        <f>$E104/spotřeba!$C$7</f>
        <v>776</v>
      </c>
      <c r="L104" s="70">
        <f>$F104/spotřeba!$C$7</f>
        <v>938.96</v>
      </c>
      <c r="M104" s="71">
        <f>$E104/spotřeba!$C$8</f>
        <v>931.2</v>
      </c>
      <c r="N104" s="72">
        <f>$F104/spotřeba!$C$8</f>
        <v>1126.752</v>
      </c>
      <c r="O104" s="69">
        <f>$E104/spotřeba!$C$9</f>
        <v>1322.7272727272727</v>
      </c>
      <c r="P104" s="70">
        <f>$F104/spotřeba!$C$9</f>
        <v>1600.5</v>
      </c>
    </row>
    <row r="105" spans="1:16" ht="15.75" customHeight="1" x14ac:dyDescent="0.25">
      <c r="A105" s="1" t="str">
        <f t="shared" si="3"/>
        <v>2473364-7</v>
      </c>
      <c r="B105" s="35">
        <v>247336</v>
      </c>
      <c r="C105" s="65" t="s">
        <v>74</v>
      </c>
      <c r="D105" s="66" t="s">
        <v>32</v>
      </c>
      <c r="E105" s="67">
        <v>1164</v>
      </c>
      <c r="F105" s="68">
        <f t="shared" si="5"/>
        <v>1408.44</v>
      </c>
      <c r="G105" s="69" t="s">
        <v>24</v>
      </c>
      <c r="H105" s="70" t="s">
        <v>24</v>
      </c>
      <c r="I105" s="71" t="s">
        <v>24</v>
      </c>
      <c r="J105" s="72" t="s">
        <v>24</v>
      </c>
      <c r="K105" s="69">
        <f>$E105/spotřeba!$C$7</f>
        <v>776</v>
      </c>
      <c r="L105" s="70">
        <f>$F105/spotřeba!$C$7</f>
        <v>938.96</v>
      </c>
      <c r="M105" s="71">
        <f>$E105/spotřeba!$C$8</f>
        <v>931.2</v>
      </c>
      <c r="N105" s="72">
        <f>$F105/spotřeba!$C$8</f>
        <v>1126.752</v>
      </c>
      <c r="O105" s="69">
        <f>$E105/spotřeba!$C$9</f>
        <v>1322.7272727272727</v>
      </c>
      <c r="P105" s="70">
        <f>$F105/spotřeba!$C$9</f>
        <v>1600.5</v>
      </c>
    </row>
    <row r="106" spans="1:16" ht="15.75" customHeight="1" x14ac:dyDescent="0.25">
      <c r="A106" s="1" t="str">
        <f t="shared" ref="A106:A140" si="6">B106&amp;D106</f>
        <v>2243612-4</v>
      </c>
      <c r="B106" s="25">
        <v>224361</v>
      </c>
      <c r="C106" s="65" t="s">
        <v>94</v>
      </c>
      <c r="D106" s="66" t="s">
        <v>26</v>
      </c>
      <c r="E106" s="67">
        <v>1164</v>
      </c>
      <c r="F106" s="68">
        <f t="shared" si="5"/>
        <v>1408.44</v>
      </c>
      <c r="G106" s="69">
        <f>$E106/spotřeba!$C$5</f>
        <v>529.09090909090901</v>
      </c>
      <c r="H106" s="70">
        <f>$F106/spotřeba!$C$5</f>
        <v>640.19999999999993</v>
      </c>
      <c r="I106" s="71">
        <f>$E106/spotřeba!$C$6</f>
        <v>646.66666666666663</v>
      </c>
      <c r="J106" s="70">
        <f>$F106/spotřeba!$C$6</f>
        <v>782.4666666666667</v>
      </c>
      <c r="K106" s="69">
        <f>$E106/spotřeba!$C$7</f>
        <v>776</v>
      </c>
      <c r="L106" s="70">
        <f>$F106/spotřeba!$C$7</f>
        <v>938.96</v>
      </c>
      <c r="M106" s="71">
        <f>$E106/spotřeba!$C$8</f>
        <v>931.2</v>
      </c>
      <c r="N106" s="72">
        <f>$F106/spotřeba!$C$8</f>
        <v>1126.752</v>
      </c>
      <c r="O106" s="69">
        <f>$E106/spotřeba!$C$9</f>
        <v>1322.7272727272727</v>
      </c>
      <c r="P106" s="70">
        <f>$F106/spotřeba!$C$9</f>
        <v>1600.5</v>
      </c>
    </row>
    <row r="107" spans="1:16" x14ac:dyDescent="0.25">
      <c r="A107" s="1" t="str">
        <f t="shared" si="6"/>
        <v>2473614-7</v>
      </c>
      <c r="B107" s="25">
        <v>247361</v>
      </c>
      <c r="C107" s="65" t="s">
        <v>94</v>
      </c>
      <c r="D107" s="66" t="s">
        <v>32</v>
      </c>
      <c r="E107" s="67">
        <v>1164</v>
      </c>
      <c r="F107" s="68">
        <f t="shared" si="5"/>
        <v>1408.44</v>
      </c>
      <c r="G107" s="69" t="s">
        <v>24</v>
      </c>
      <c r="H107" s="70" t="s">
        <v>24</v>
      </c>
      <c r="I107" s="71" t="s">
        <v>24</v>
      </c>
      <c r="J107" s="70" t="s">
        <v>24</v>
      </c>
      <c r="K107" s="69">
        <f>$E107/spotřeba!$C$7</f>
        <v>776</v>
      </c>
      <c r="L107" s="70">
        <f>$F107/spotřeba!$C$7</f>
        <v>938.96</v>
      </c>
      <c r="M107" s="71">
        <f>$E107/spotřeba!$C$8</f>
        <v>931.2</v>
      </c>
      <c r="N107" s="72">
        <f>$F107/spotřeba!$C$8</f>
        <v>1126.752</v>
      </c>
      <c r="O107" s="69">
        <f>$E107/spotřeba!$C$9</f>
        <v>1322.7272727272727</v>
      </c>
      <c r="P107" s="70">
        <f>$F107/spotřeba!$C$9</f>
        <v>1600.5</v>
      </c>
    </row>
    <row r="108" spans="1:16" x14ac:dyDescent="0.25">
      <c r="A108" s="1" t="str">
        <f t="shared" si="6"/>
        <v>2243482-4</v>
      </c>
      <c r="B108" s="35">
        <v>224348</v>
      </c>
      <c r="C108" s="65" t="s">
        <v>82</v>
      </c>
      <c r="D108" s="66" t="s">
        <v>26</v>
      </c>
      <c r="E108" s="67">
        <v>1164</v>
      </c>
      <c r="F108" s="68">
        <f t="shared" si="5"/>
        <v>1408.44</v>
      </c>
      <c r="G108" s="69">
        <f>$E108/spotřeba!$C$5</f>
        <v>529.09090909090901</v>
      </c>
      <c r="H108" s="70">
        <f>$F108/spotřeba!$C$5</f>
        <v>640.19999999999993</v>
      </c>
      <c r="I108" s="71">
        <f>$E108/spotřeba!$C$6</f>
        <v>646.66666666666663</v>
      </c>
      <c r="J108" s="70">
        <f>$F108/spotřeba!$C$6</f>
        <v>782.4666666666667</v>
      </c>
      <c r="K108" s="69">
        <f>$E108/spotřeba!$C$7</f>
        <v>776</v>
      </c>
      <c r="L108" s="70">
        <f>$F108/spotřeba!$C$7</f>
        <v>938.96</v>
      </c>
      <c r="M108" s="71">
        <f>$E108/spotřeba!$C$8</f>
        <v>931.2</v>
      </c>
      <c r="N108" s="72">
        <f>$F108/spotřeba!$C$8</f>
        <v>1126.752</v>
      </c>
      <c r="O108" s="69">
        <f>$E108/spotřeba!$C$9</f>
        <v>1322.7272727272727</v>
      </c>
      <c r="P108" s="70">
        <f>$F108/spotřeba!$C$9</f>
        <v>1600.5</v>
      </c>
    </row>
    <row r="109" spans="1:16" x14ac:dyDescent="0.25">
      <c r="A109" s="1" t="str">
        <f t="shared" si="6"/>
        <v>2473484-7</v>
      </c>
      <c r="B109" s="35">
        <v>247348</v>
      </c>
      <c r="C109" s="65" t="s">
        <v>82</v>
      </c>
      <c r="D109" s="66" t="s">
        <v>32</v>
      </c>
      <c r="E109" s="67">
        <v>1164</v>
      </c>
      <c r="F109" s="68">
        <f t="shared" si="5"/>
        <v>1408.44</v>
      </c>
      <c r="G109" s="69" t="s">
        <v>24</v>
      </c>
      <c r="H109" s="70" t="s">
        <v>24</v>
      </c>
      <c r="I109" s="71" t="s">
        <v>24</v>
      </c>
      <c r="J109" s="72" t="s">
        <v>24</v>
      </c>
      <c r="K109" s="69">
        <f>$E109/spotřeba!$C$7</f>
        <v>776</v>
      </c>
      <c r="L109" s="70">
        <f>$F109/spotřeba!$C$7</f>
        <v>938.96</v>
      </c>
      <c r="M109" s="71">
        <f>$E109/spotřeba!$C$8</f>
        <v>931.2</v>
      </c>
      <c r="N109" s="72">
        <f>$F109/spotřeba!$C$8</f>
        <v>1126.752</v>
      </c>
      <c r="O109" s="69">
        <f>$E109/spotřeba!$C$9</f>
        <v>1322.7272727272727</v>
      </c>
      <c r="P109" s="70">
        <f>$F109/spotřeba!$C$9</f>
        <v>1600.5</v>
      </c>
    </row>
    <row r="110" spans="1:16" x14ac:dyDescent="0.25">
      <c r="A110" s="1" t="str">
        <f t="shared" si="6"/>
        <v>2361053-6</v>
      </c>
      <c r="B110" s="35">
        <v>236105</v>
      </c>
      <c r="C110" s="65" t="s">
        <v>29</v>
      </c>
      <c r="D110" s="66" t="s">
        <v>30</v>
      </c>
      <c r="E110" s="67">
        <v>859.19999999999993</v>
      </c>
      <c r="F110" s="68">
        <f t="shared" si="5"/>
        <v>1039.6319999999998</v>
      </c>
      <c r="G110" s="69" t="s">
        <v>24</v>
      </c>
      <c r="H110" s="70" t="s">
        <v>24</v>
      </c>
      <c r="I110" s="71">
        <f>$E110/spotřeba!$C$6</f>
        <v>477.33333333333326</v>
      </c>
      <c r="J110" s="72">
        <f>$F110/spotřeba!$C$6</f>
        <v>577.57333333333327</v>
      </c>
      <c r="K110" s="69">
        <f>$E110/spotřeba!$C$7</f>
        <v>572.79999999999995</v>
      </c>
      <c r="L110" s="70">
        <f>$F110/spotřeba!$C$7</f>
        <v>693.08799999999985</v>
      </c>
      <c r="M110" s="71">
        <f>$E110/spotřeba!$C$8</f>
        <v>687.3599999999999</v>
      </c>
      <c r="N110" s="72">
        <f>$F110/spotřeba!$C$8</f>
        <v>831.70559999999989</v>
      </c>
      <c r="O110" s="69">
        <f>$E110/spotřeba!$C$9</f>
        <v>976.36363636363626</v>
      </c>
      <c r="P110" s="70">
        <f>$F110/spotřeba!$C$9</f>
        <v>1181.3999999999999</v>
      </c>
    </row>
    <row r="111" spans="1:16" x14ac:dyDescent="0.25">
      <c r="A111" s="1" t="str">
        <f t="shared" si="6"/>
        <v>2243492-4</v>
      </c>
      <c r="B111" s="35">
        <v>224349</v>
      </c>
      <c r="C111" s="65" t="s">
        <v>83</v>
      </c>
      <c r="D111" s="66" t="s">
        <v>26</v>
      </c>
      <c r="E111" s="67">
        <v>1164</v>
      </c>
      <c r="F111" s="68">
        <f t="shared" si="5"/>
        <v>1408.44</v>
      </c>
      <c r="G111" s="69">
        <f>$E111/spotřeba!$C$5</f>
        <v>529.09090909090901</v>
      </c>
      <c r="H111" s="70">
        <f>$F111/spotřeba!$C$5</f>
        <v>640.19999999999993</v>
      </c>
      <c r="I111" s="71">
        <f>$E111/spotřeba!$C$6</f>
        <v>646.66666666666663</v>
      </c>
      <c r="J111" s="70">
        <f>$F111/spotřeba!$C$6</f>
        <v>782.4666666666667</v>
      </c>
      <c r="K111" s="69">
        <f>$E111/spotřeba!$C$7</f>
        <v>776</v>
      </c>
      <c r="L111" s="70">
        <f>$F111/spotřeba!$C$7</f>
        <v>938.96</v>
      </c>
      <c r="M111" s="71">
        <f>$E111/spotřeba!$C$8</f>
        <v>931.2</v>
      </c>
      <c r="N111" s="72">
        <f>$F111/spotřeba!$C$8</f>
        <v>1126.752</v>
      </c>
      <c r="O111" s="69">
        <f>$E111/spotřeba!$C$9</f>
        <v>1322.7272727272727</v>
      </c>
      <c r="P111" s="70">
        <f>$F111/spotřeba!$C$9</f>
        <v>1600.5</v>
      </c>
    </row>
    <row r="112" spans="1:16" x14ac:dyDescent="0.25">
      <c r="A112" s="1" t="str">
        <f t="shared" si="6"/>
        <v>2473494-7</v>
      </c>
      <c r="B112" s="35">
        <v>247349</v>
      </c>
      <c r="C112" s="65" t="s">
        <v>83</v>
      </c>
      <c r="D112" s="66" t="s">
        <v>32</v>
      </c>
      <c r="E112" s="67">
        <v>1164</v>
      </c>
      <c r="F112" s="68">
        <f t="shared" si="5"/>
        <v>1408.44</v>
      </c>
      <c r="G112" s="69" t="s">
        <v>24</v>
      </c>
      <c r="H112" s="70" t="s">
        <v>24</v>
      </c>
      <c r="I112" s="71" t="s">
        <v>24</v>
      </c>
      <c r="J112" s="70" t="s">
        <v>24</v>
      </c>
      <c r="K112" s="69">
        <f>$E112/spotřeba!$C$7</f>
        <v>776</v>
      </c>
      <c r="L112" s="70">
        <f>$F112/spotřeba!$C$7</f>
        <v>938.96</v>
      </c>
      <c r="M112" s="71">
        <f>$E112/spotřeba!$C$8</f>
        <v>931.2</v>
      </c>
      <c r="N112" s="72">
        <f>$F112/spotřeba!$C$8</f>
        <v>1126.752</v>
      </c>
      <c r="O112" s="69">
        <f>$E112/spotřeba!$C$9</f>
        <v>1322.7272727272727</v>
      </c>
      <c r="P112" s="70">
        <f>$F112/spotřeba!$C$9</f>
        <v>1600.5</v>
      </c>
    </row>
    <row r="113" spans="1:16" x14ac:dyDescent="0.25">
      <c r="A113" s="1" t="str">
        <f t="shared" si="6"/>
        <v>2242092-4</v>
      </c>
      <c r="B113" s="35">
        <v>224209</v>
      </c>
      <c r="C113" s="65" t="s">
        <v>39</v>
      </c>
      <c r="D113" s="66" t="s">
        <v>26</v>
      </c>
      <c r="E113" s="67">
        <v>1140</v>
      </c>
      <c r="F113" s="68">
        <f t="shared" si="5"/>
        <v>1379.3999999999999</v>
      </c>
      <c r="G113" s="69">
        <f>$E113/spotřeba!$C$5</f>
        <v>518.18181818181813</v>
      </c>
      <c r="H113" s="70">
        <f>$F113/spotřeba!$C$5</f>
        <v>626.99999999999989</v>
      </c>
      <c r="I113" s="71">
        <f>$E113/spotřeba!$C$6</f>
        <v>633.33333333333337</v>
      </c>
      <c r="J113" s="70">
        <f>$F113/spotřeba!$C$6</f>
        <v>766.33333333333326</v>
      </c>
      <c r="K113" s="69">
        <f>$E113/spotřeba!$C$7</f>
        <v>760</v>
      </c>
      <c r="L113" s="70">
        <f>$F113/spotřeba!$C$7</f>
        <v>919.59999999999991</v>
      </c>
      <c r="M113" s="71">
        <f>$E113/spotřeba!$C$8</f>
        <v>912</v>
      </c>
      <c r="N113" s="72">
        <f>$F113/spotřeba!$C$8</f>
        <v>1103.52</v>
      </c>
      <c r="O113" s="69">
        <f>$E113/spotřeba!$C$9</f>
        <v>1295.4545454545455</v>
      </c>
      <c r="P113" s="70">
        <f>$F113/spotřeba!$C$9</f>
        <v>1567.4999999999998</v>
      </c>
    </row>
    <row r="114" spans="1:16" x14ac:dyDescent="0.25">
      <c r="A114" s="1" t="str">
        <f t="shared" si="6"/>
        <v>2472094-7</v>
      </c>
      <c r="B114" s="35">
        <v>247209</v>
      </c>
      <c r="C114" s="65" t="s">
        <v>39</v>
      </c>
      <c r="D114" s="66" t="s">
        <v>32</v>
      </c>
      <c r="E114" s="67">
        <v>1140</v>
      </c>
      <c r="F114" s="68">
        <f t="shared" si="5"/>
        <v>1379.3999999999999</v>
      </c>
      <c r="G114" s="69" t="s">
        <v>24</v>
      </c>
      <c r="H114" s="70" t="s">
        <v>24</v>
      </c>
      <c r="I114" s="71" t="s">
        <v>24</v>
      </c>
      <c r="J114" s="70" t="s">
        <v>24</v>
      </c>
      <c r="K114" s="69">
        <f>$E114/spotřeba!$C$7</f>
        <v>760</v>
      </c>
      <c r="L114" s="70">
        <f>$F114/spotřeba!$C$7</f>
        <v>919.59999999999991</v>
      </c>
      <c r="M114" s="71">
        <f>$E114/spotřeba!$C$8</f>
        <v>912</v>
      </c>
      <c r="N114" s="72">
        <f>$F114/spotřeba!$C$8</f>
        <v>1103.52</v>
      </c>
      <c r="O114" s="69">
        <f>$E114/spotřeba!$C$9</f>
        <v>1295.4545454545455</v>
      </c>
      <c r="P114" s="70">
        <f>$F114/spotřeba!$C$9</f>
        <v>1567.4999999999998</v>
      </c>
    </row>
    <row r="115" spans="1:16" x14ac:dyDescent="0.25">
      <c r="A115" s="1" t="str">
        <f t="shared" si="6"/>
        <v>2242182-4</v>
      </c>
      <c r="B115" s="35">
        <v>224218</v>
      </c>
      <c r="C115" s="65" t="s">
        <v>45</v>
      </c>
      <c r="D115" s="66" t="s">
        <v>26</v>
      </c>
      <c r="E115" s="67">
        <v>1098</v>
      </c>
      <c r="F115" s="68">
        <f t="shared" si="5"/>
        <v>1328.58</v>
      </c>
      <c r="G115" s="69">
        <f>$E115/spotřeba!$C$5</f>
        <v>499.09090909090907</v>
      </c>
      <c r="H115" s="70">
        <f>$F115/spotřeba!$C$5</f>
        <v>603.89999999999986</v>
      </c>
      <c r="I115" s="71">
        <f>$E115/spotřeba!$C$6</f>
        <v>610</v>
      </c>
      <c r="J115" s="70">
        <f>$F115/spotřeba!$C$6</f>
        <v>738.09999999999991</v>
      </c>
      <c r="K115" s="69">
        <f>$E115/spotřeba!$C$7</f>
        <v>732</v>
      </c>
      <c r="L115" s="70">
        <f>$F115/spotřeba!$C$7</f>
        <v>885.71999999999991</v>
      </c>
      <c r="M115" s="71">
        <f>$E115/spotřeba!$C$8</f>
        <v>878.4</v>
      </c>
      <c r="N115" s="72">
        <f>$F115/spotřeba!$C$8</f>
        <v>1062.864</v>
      </c>
      <c r="O115" s="69">
        <f>$E115/spotřeba!$C$9</f>
        <v>1247.7272727272727</v>
      </c>
      <c r="P115" s="70">
        <f>$F115/spotřeba!$C$9</f>
        <v>1509.75</v>
      </c>
    </row>
    <row r="116" spans="1:16" x14ac:dyDescent="0.25">
      <c r="A116" s="1" t="str">
        <f t="shared" si="6"/>
        <v>2472184-7</v>
      </c>
      <c r="B116" s="35">
        <v>247218</v>
      </c>
      <c r="C116" s="65" t="s">
        <v>45</v>
      </c>
      <c r="D116" s="66" t="s">
        <v>32</v>
      </c>
      <c r="E116" s="67">
        <v>1098</v>
      </c>
      <c r="F116" s="68">
        <f t="shared" si="5"/>
        <v>1328.58</v>
      </c>
      <c r="G116" s="69" t="s">
        <v>24</v>
      </c>
      <c r="H116" s="70" t="s">
        <v>24</v>
      </c>
      <c r="I116" s="71" t="s">
        <v>24</v>
      </c>
      <c r="J116" s="70" t="s">
        <v>24</v>
      </c>
      <c r="K116" s="69">
        <f>$E116/spotřeba!$C$7</f>
        <v>732</v>
      </c>
      <c r="L116" s="70">
        <f>$F116/spotřeba!$C$7</f>
        <v>885.71999999999991</v>
      </c>
      <c r="M116" s="71">
        <f>$E116/spotřeba!$C$8</f>
        <v>878.4</v>
      </c>
      <c r="N116" s="72">
        <f>$F116/spotřeba!$C$8</f>
        <v>1062.864</v>
      </c>
      <c r="O116" s="69">
        <f>$E116/spotřeba!$C$9</f>
        <v>1247.7272727272727</v>
      </c>
      <c r="P116" s="70">
        <f>$F116/spotřeba!$C$9</f>
        <v>1509.75</v>
      </c>
    </row>
    <row r="117" spans="1:16" x14ac:dyDescent="0.25">
      <c r="A117" s="1" t="str">
        <f t="shared" si="6"/>
        <v>2243072-4</v>
      </c>
      <c r="B117" s="35">
        <v>224307</v>
      </c>
      <c r="C117" s="65" t="s">
        <v>52</v>
      </c>
      <c r="D117" s="66" t="s">
        <v>26</v>
      </c>
      <c r="E117" s="67">
        <v>1164</v>
      </c>
      <c r="F117" s="68">
        <f t="shared" si="5"/>
        <v>1408.44</v>
      </c>
      <c r="G117" s="69">
        <f>$E117/spotřeba!$C$5</f>
        <v>529.09090909090901</v>
      </c>
      <c r="H117" s="70">
        <f>$F117/spotřeba!$C$5</f>
        <v>640.19999999999993</v>
      </c>
      <c r="I117" s="71">
        <f>$E117/spotřeba!$C$6</f>
        <v>646.66666666666663</v>
      </c>
      <c r="J117" s="70">
        <f>$F117/spotřeba!$C$6</f>
        <v>782.4666666666667</v>
      </c>
      <c r="K117" s="69">
        <f>$E117/spotřeba!$C$7</f>
        <v>776</v>
      </c>
      <c r="L117" s="70">
        <f>$F117/spotřeba!$C$7</f>
        <v>938.96</v>
      </c>
      <c r="M117" s="71">
        <f>$E117/spotřeba!$C$8</f>
        <v>931.2</v>
      </c>
      <c r="N117" s="72">
        <f>$F117/spotřeba!$C$8</f>
        <v>1126.752</v>
      </c>
      <c r="O117" s="69">
        <f>$E117/spotřeba!$C$9</f>
        <v>1322.7272727272727</v>
      </c>
      <c r="P117" s="70">
        <f>$F117/spotřeba!$C$9</f>
        <v>1600.5</v>
      </c>
    </row>
    <row r="118" spans="1:16" x14ac:dyDescent="0.25">
      <c r="A118" s="1" t="str">
        <f t="shared" si="6"/>
        <v>2473074-7</v>
      </c>
      <c r="B118" s="35">
        <v>247307</v>
      </c>
      <c r="C118" s="65" t="s">
        <v>52</v>
      </c>
      <c r="D118" s="66" t="s">
        <v>32</v>
      </c>
      <c r="E118" s="67">
        <v>1164</v>
      </c>
      <c r="F118" s="68">
        <f t="shared" si="5"/>
        <v>1408.44</v>
      </c>
      <c r="G118" s="69" t="s">
        <v>24</v>
      </c>
      <c r="H118" s="70" t="s">
        <v>24</v>
      </c>
      <c r="I118" s="71" t="s">
        <v>24</v>
      </c>
      <c r="J118" s="70" t="s">
        <v>24</v>
      </c>
      <c r="K118" s="69">
        <f>$E118/spotřeba!$C$7</f>
        <v>776</v>
      </c>
      <c r="L118" s="70">
        <f>$F118/spotřeba!$C$7</f>
        <v>938.96</v>
      </c>
      <c r="M118" s="71">
        <f>$E118/spotřeba!$C$8</f>
        <v>931.2</v>
      </c>
      <c r="N118" s="72">
        <f>$F118/spotřeba!$C$8</f>
        <v>1126.752</v>
      </c>
      <c r="O118" s="69">
        <f>$E118/spotřeba!$C$9</f>
        <v>1322.7272727272727</v>
      </c>
      <c r="P118" s="70">
        <f>$F118/spotřeba!$C$9</f>
        <v>1600.5</v>
      </c>
    </row>
    <row r="119" spans="1:16" x14ac:dyDescent="0.25">
      <c r="A119" s="1" t="str">
        <f t="shared" si="6"/>
        <v>2243412-4</v>
      </c>
      <c r="B119" s="35">
        <v>224341</v>
      </c>
      <c r="C119" s="65" t="s">
        <v>79</v>
      </c>
      <c r="D119" s="66" t="s">
        <v>26</v>
      </c>
      <c r="E119" s="67">
        <v>1164</v>
      </c>
      <c r="F119" s="68">
        <f t="shared" si="5"/>
        <v>1408.44</v>
      </c>
      <c r="G119" s="69">
        <f>$E119/spotřeba!$C$5</f>
        <v>529.09090909090901</v>
      </c>
      <c r="H119" s="70">
        <f>$F119/spotřeba!$C$5</f>
        <v>640.19999999999993</v>
      </c>
      <c r="I119" s="71">
        <f>$E119/spotřeba!$C$6</f>
        <v>646.66666666666663</v>
      </c>
      <c r="J119" s="70">
        <f>$F119/spotřeba!$C$6</f>
        <v>782.4666666666667</v>
      </c>
      <c r="K119" s="69">
        <f>$E119/spotřeba!$C$7</f>
        <v>776</v>
      </c>
      <c r="L119" s="70">
        <f>$F119/spotřeba!$C$7</f>
        <v>938.96</v>
      </c>
      <c r="M119" s="71">
        <f>$E119/spotřeba!$C$8</f>
        <v>931.2</v>
      </c>
      <c r="N119" s="72">
        <f>$F119/spotřeba!$C$8</f>
        <v>1126.752</v>
      </c>
      <c r="O119" s="69">
        <f>$E119/spotřeba!$C$9</f>
        <v>1322.7272727272727</v>
      </c>
      <c r="P119" s="70">
        <f>$F119/spotřeba!$C$9</f>
        <v>1600.5</v>
      </c>
    </row>
    <row r="120" spans="1:16" x14ac:dyDescent="0.25">
      <c r="A120" s="1" t="str">
        <f t="shared" si="6"/>
        <v>2473414-7</v>
      </c>
      <c r="B120" s="35">
        <v>247341</v>
      </c>
      <c r="C120" s="65" t="s">
        <v>79</v>
      </c>
      <c r="D120" s="66" t="s">
        <v>32</v>
      </c>
      <c r="E120" s="67">
        <v>1164</v>
      </c>
      <c r="F120" s="68">
        <f t="shared" si="5"/>
        <v>1408.44</v>
      </c>
      <c r="G120" s="69" t="s">
        <v>24</v>
      </c>
      <c r="H120" s="70" t="s">
        <v>24</v>
      </c>
      <c r="I120" s="71" t="s">
        <v>24</v>
      </c>
      <c r="J120" s="70" t="s">
        <v>24</v>
      </c>
      <c r="K120" s="69">
        <f>$E120/spotřeba!$C$7</f>
        <v>776</v>
      </c>
      <c r="L120" s="70">
        <f>$F120/spotřeba!$C$7</f>
        <v>938.96</v>
      </c>
      <c r="M120" s="71">
        <f>$E120/spotřeba!$C$8</f>
        <v>931.2</v>
      </c>
      <c r="N120" s="72">
        <f>$F120/spotřeba!$C$8</f>
        <v>1126.752</v>
      </c>
      <c r="O120" s="69">
        <f>$E120/spotřeba!$C$9</f>
        <v>1322.7272727272727</v>
      </c>
      <c r="P120" s="70">
        <f>$F120/spotřeba!$C$9</f>
        <v>1600.5</v>
      </c>
    </row>
    <row r="121" spans="1:16" x14ac:dyDescent="0.25">
      <c r="A121" s="1" t="str">
        <f t="shared" si="6"/>
        <v>2242202-4</v>
      </c>
      <c r="B121" s="35">
        <v>224220</v>
      </c>
      <c r="C121" s="65" t="s">
        <v>46</v>
      </c>
      <c r="D121" s="66" t="s">
        <v>26</v>
      </c>
      <c r="E121" s="67">
        <v>1200</v>
      </c>
      <c r="F121" s="68">
        <f t="shared" si="5"/>
        <v>1452</v>
      </c>
      <c r="G121" s="69">
        <f>$E121/spotřeba!$C$5</f>
        <v>545.45454545454538</v>
      </c>
      <c r="H121" s="70">
        <f>$F121/spotřeba!$C$5</f>
        <v>660</v>
      </c>
      <c r="I121" s="71">
        <f>$E121/spotřeba!$C$6</f>
        <v>666.66666666666663</v>
      </c>
      <c r="J121" s="70">
        <f>$F121/spotřeba!$C$6</f>
        <v>806.66666666666663</v>
      </c>
      <c r="K121" s="69">
        <f>$E121/spotřeba!$C$7</f>
        <v>800</v>
      </c>
      <c r="L121" s="70">
        <f>$F121/spotřeba!$C$7</f>
        <v>968</v>
      </c>
      <c r="M121" s="71">
        <f>$E121/spotřeba!$C$8</f>
        <v>960</v>
      </c>
      <c r="N121" s="72">
        <f>$F121/spotřeba!$C$8</f>
        <v>1161.5999999999999</v>
      </c>
      <c r="O121" s="69">
        <f>$E121/spotřeba!$C$9</f>
        <v>1363.6363636363637</v>
      </c>
      <c r="P121" s="70">
        <f>$F121/spotřeba!$C$9</f>
        <v>1650</v>
      </c>
    </row>
    <row r="122" spans="1:16" x14ac:dyDescent="0.25">
      <c r="A122" s="1" t="str">
        <f t="shared" si="6"/>
        <v>2472204-7</v>
      </c>
      <c r="B122" s="35">
        <v>247220</v>
      </c>
      <c r="C122" s="65" t="s">
        <v>46</v>
      </c>
      <c r="D122" s="66" t="s">
        <v>32</v>
      </c>
      <c r="E122" s="67">
        <v>1200</v>
      </c>
      <c r="F122" s="68">
        <f t="shared" si="5"/>
        <v>1452</v>
      </c>
      <c r="G122" s="69" t="s">
        <v>24</v>
      </c>
      <c r="H122" s="70" t="s">
        <v>24</v>
      </c>
      <c r="I122" s="71" t="s">
        <v>24</v>
      </c>
      <c r="J122" s="70" t="s">
        <v>24</v>
      </c>
      <c r="K122" s="69">
        <f>$E122/spotřeba!$C$7</f>
        <v>800</v>
      </c>
      <c r="L122" s="70">
        <f>$F122/spotřeba!$C$7</f>
        <v>968</v>
      </c>
      <c r="M122" s="71">
        <f>$E122/spotřeba!$C$8</f>
        <v>960</v>
      </c>
      <c r="N122" s="72">
        <f>$F122/spotřeba!$C$8</f>
        <v>1161.5999999999999</v>
      </c>
      <c r="O122" s="69">
        <f>$E122/spotřeba!$C$9</f>
        <v>1363.6363636363637</v>
      </c>
      <c r="P122" s="70">
        <f>$F122/spotřeba!$C$9</f>
        <v>1650</v>
      </c>
    </row>
    <row r="123" spans="1:16" x14ac:dyDescent="0.25">
      <c r="A123" s="1" t="str">
        <f t="shared" si="6"/>
        <v>2243092-4</v>
      </c>
      <c r="B123" s="35">
        <v>224309</v>
      </c>
      <c r="C123" s="65" t="s">
        <v>54</v>
      </c>
      <c r="D123" s="66" t="s">
        <v>26</v>
      </c>
      <c r="E123" s="67">
        <v>1164</v>
      </c>
      <c r="F123" s="68">
        <f t="shared" si="5"/>
        <v>1408.44</v>
      </c>
      <c r="G123" s="69">
        <f>$E123/spotřeba!$C$5</f>
        <v>529.09090909090901</v>
      </c>
      <c r="H123" s="70">
        <f>$F123/spotřeba!$C$5</f>
        <v>640.19999999999993</v>
      </c>
      <c r="I123" s="71">
        <f>$E123/spotřeba!$C$6</f>
        <v>646.66666666666663</v>
      </c>
      <c r="J123" s="70">
        <f>$F123/spotřeba!$C$6</f>
        <v>782.4666666666667</v>
      </c>
      <c r="K123" s="69">
        <f>$E123/spotřeba!$C$7</f>
        <v>776</v>
      </c>
      <c r="L123" s="70">
        <f>$F123/spotřeba!$C$7</f>
        <v>938.96</v>
      </c>
      <c r="M123" s="71">
        <f>$E123/spotřeba!$C$8</f>
        <v>931.2</v>
      </c>
      <c r="N123" s="72">
        <f>$F123/spotřeba!$C$8</f>
        <v>1126.752</v>
      </c>
      <c r="O123" s="69">
        <f>$E123/spotřeba!$C$9</f>
        <v>1322.7272727272727</v>
      </c>
      <c r="P123" s="70">
        <f>$F123/spotřeba!$C$9</f>
        <v>1600.5</v>
      </c>
    </row>
    <row r="124" spans="1:16" x14ac:dyDescent="0.25">
      <c r="A124" s="1" t="str">
        <f t="shared" si="6"/>
        <v>2473094-7</v>
      </c>
      <c r="B124" s="35">
        <v>247309</v>
      </c>
      <c r="C124" s="65" t="s">
        <v>54</v>
      </c>
      <c r="D124" s="66" t="s">
        <v>32</v>
      </c>
      <c r="E124" s="67">
        <v>1164</v>
      </c>
      <c r="F124" s="68">
        <f t="shared" si="5"/>
        <v>1408.44</v>
      </c>
      <c r="G124" s="69" t="s">
        <v>24</v>
      </c>
      <c r="H124" s="70" t="s">
        <v>24</v>
      </c>
      <c r="I124" s="71" t="s">
        <v>24</v>
      </c>
      <c r="J124" s="70" t="s">
        <v>24</v>
      </c>
      <c r="K124" s="69">
        <f>$E124/spotřeba!$C$7</f>
        <v>776</v>
      </c>
      <c r="L124" s="70">
        <f>$F124/spotřeba!$C$7</f>
        <v>938.96</v>
      </c>
      <c r="M124" s="71">
        <f>$E124/spotřeba!$C$8</f>
        <v>931.2</v>
      </c>
      <c r="N124" s="72">
        <f>$F124/spotřeba!$C$8</f>
        <v>1126.752</v>
      </c>
      <c r="O124" s="69">
        <f>$E124/spotřeba!$C$9</f>
        <v>1322.7272727272727</v>
      </c>
      <c r="P124" s="70">
        <f>$F124/spotřeba!$C$9</f>
        <v>1600.5</v>
      </c>
    </row>
    <row r="125" spans="1:16" x14ac:dyDescent="0.25">
      <c r="A125" s="1" t="str">
        <f t="shared" si="6"/>
        <v>2243152-4</v>
      </c>
      <c r="B125" s="35">
        <v>224315</v>
      </c>
      <c r="C125" s="65" t="s">
        <v>59</v>
      </c>
      <c r="D125" s="66" t="s">
        <v>26</v>
      </c>
      <c r="E125" s="67">
        <v>1164</v>
      </c>
      <c r="F125" s="68">
        <f t="shared" si="5"/>
        <v>1408.44</v>
      </c>
      <c r="G125" s="69">
        <f>$E125/spotřeba!$C$5</f>
        <v>529.09090909090901</v>
      </c>
      <c r="H125" s="70">
        <f>$F125/spotřeba!$C$5</f>
        <v>640.19999999999993</v>
      </c>
      <c r="I125" s="71">
        <f>$E125/spotřeba!$C$6</f>
        <v>646.66666666666663</v>
      </c>
      <c r="J125" s="70">
        <f>$F125/spotřeba!$C$6</f>
        <v>782.4666666666667</v>
      </c>
      <c r="K125" s="69">
        <f>$E125/spotřeba!$C$7</f>
        <v>776</v>
      </c>
      <c r="L125" s="70">
        <f>$F125/spotřeba!$C$7</f>
        <v>938.96</v>
      </c>
      <c r="M125" s="71">
        <f>$E125/spotřeba!$C$8</f>
        <v>931.2</v>
      </c>
      <c r="N125" s="72">
        <f>$F125/spotřeba!$C$8</f>
        <v>1126.752</v>
      </c>
      <c r="O125" s="69">
        <f>$E125/spotřeba!$C$9</f>
        <v>1322.7272727272727</v>
      </c>
      <c r="P125" s="70">
        <f>$F125/spotřeba!$C$9</f>
        <v>1600.5</v>
      </c>
    </row>
    <row r="126" spans="1:16" x14ac:dyDescent="0.25">
      <c r="A126" s="1" t="str">
        <f t="shared" si="6"/>
        <v>2473154-7</v>
      </c>
      <c r="B126" s="35">
        <v>247315</v>
      </c>
      <c r="C126" s="65" t="s">
        <v>59</v>
      </c>
      <c r="D126" s="66" t="s">
        <v>32</v>
      </c>
      <c r="E126" s="67">
        <v>1164</v>
      </c>
      <c r="F126" s="68">
        <f t="shared" si="5"/>
        <v>1408.44</v>
      </c>
      <c r="G126" s="69" t="s">
        <v>24</v>
      </c>
      <c r="H126" s="70" t="s">
        <v>24</v>
      </c>
      <c r="I126" s="71" t="s">
        <v>24</v>
      </c>
      <c r="J126" s="70" t="s">
        <v>24</v>
      </c>
      <c r="K126" s="69">
        <f>$E126/spotřeba!$C$7</f>
        <v>776</v>
      </c>
      <c r="L126" s="70">
        <f>$F126/spotřeba!$C$7</f>
        <v>938.96</v>
      </c>
      <c r="M126" s="71">
        <f>$E126/spotřeba!$C$8</f>
        <v>931.2</v>
      </c>
      <c r="N126" s="72">
        <f>$F126/spotřeba!$C$8</f>
        <v>1126.752</v>
      </c>
      <c r="O126" s="69">
        <f>$E126/spotřeba!$C$9</f>
        <v>1322.7272727272727</v>
      </c>
      <c r="P126" s="70">
        <f>$F126/spotřeba!$C$9</f>
        <v>1600.5</v>
      </c>
    </row>
    <row r="127" spans="1:16" x14ac:dyDescent="0.25">
      <c r="A127" s="1" t="str">
        <f t="shared" si="6"/>
        <v>2243112-4</v>
      </c>
      <c r="B127" s="35">
        <v>224311</v>
      </c>
      <c r="C127" s="65" t="s">
        <v>56</v>
      </c>
      <c r="D127" s="66" t="s">
        <v>26</v>
      </c>
      <c r="E127" s="67">
        <v>1164</v>
      </c>
      <c r="F127" s="68">
        <f t="shared" si="5"/>
        <v>1408.44</v>
      </c>
      <c r="G127" s="69">
        <f>$E127/spotřeba!$C$5</f>
        <v>529.09090909090901</v>
      </c>
      <c r="H127" s="70">
        <f>$F127/spotřeba!$C$5</f>
        <v>640.19999999999993</v>
      </c>
      <c r="I127" s="71">
        <f>$E127/spotřeba!$C$6</f>
        <v>646.66666666666663</v>
      </c>
      <c r="J127" s="70">
        <f>$F127/spotřeba!$C$6</f>
        <v>782.4666666666667</v>
      </c>
      <c r="K127" s="69">
        <f>$E127/spotřeba!$C$7</f>
        <v>776</v>
      </c>
      <c r="L127" s="70">
        <f>$F127/spotřeba!$C$7</f>
        <v>938.96</v>
      </c>
      <c r="M127" s="71">
        <f>$E127/spotřeba!$C$8</f>
        <v>931.2</v>
      </c>
      <c r="N127" s="72">
        <f>$F127/spotřeba!$C$8</f>
        <v>1126.752</v>
      </c>
      <c r="O127" s="69">
        <f>$E127/spotřeba!$C$9</f>
        <v>1322.7272727272727</v>
      </c>
      <c r="P127" s="70">
        <f>$F127/spotřeba!$C$9</f>
        <v>1600.5</v>
      </c>
    </row>
    <row r="128" spans="1:16" x14ac:dyDescent="0.25">
      <c r="A128" s="1" t="str">
        <f t="shared" si="6"/>
        <v>2473114-7</v>
      </c>
      <c r="B128" s="35">
        <v>247311</v>
      </c>
      <c r="C128" s="65" t="s">
        <v>56</v>
      </c>
      <c r="D128" s="66" t="s">
        <v>32</v>
      </c>
      <c r="E128" s="67">
        <v>1164</v>
      </c>
      <c r="F128" s="68">
        <f t="shared" si="5"/>
        <v>1408.44</v>
      </c>
      <c r="G128" s="69" t="s">
        <v>24</v>
      </c>
      <c r="H128" s="70" t="s">
        <v>24</v>
      </c>
      <c r="I128" s="71" t="s">
        <v>24</v>
      </c>
      <c r="J128" s="70" t="s">
        <v>24</v>
      </c>
      <c r="K128" s="69">
        <f>$E128/spotřeba!$C$7</f>
        <v>776</v>
      </c>
      <c r="L128" s="70">
        <f>$F128/spotřeba!$C$7</f>
        <v>938.96</v>
      </c>
      <c r="M128" s="71">
        <f>$E128/spotřeba!$C$8</f>
        <v>931.2</v>
      </c>
      <c r="N128" s="72">
        <f>$F128/spotřeba!$C$8</f>
        <v>1126.752</v>
      </c>
      <c r="O128" s="69">
        <f>$E128/spotřeba!$C$9</f>
        <v>1322.7272727272727</v>
      </c>
      <c r="P128" s="70">
        <f>$F128/spotřeba!$C$9</f>
        <v>1600.5</v>
      </c>
    </row>
    <row r="129" spans="1:16" x14ac:dyDescent="0.25">
      <c r="A129" s="1" t="str">
        <f t="shared" si="6"/>
        <v>2242022-4</v>
      </c>
      <c r="B129" s="35">
        <v>224202</v>
      </c>
      <c r="C129" s="65" t="s">
        <v>33</v>
      </c>
      <c r="D129" s="66" t="s">
        <v>26</v>
      </c>
      <c r="E129" s="67">
        <v>1086</v>
      </c>
      <c r="F129" s="68">
        <f t="shared" si="5"/>
        <v>1314.06</v>
      </c>
      <c r="G129" s="69">
        <f>$E129/spotřeba!$C$5</f>
        <v>493.63636363636357</v>
      </c>
      <c r="H129" s="70">
        <f>$F129/spotřeba!$C$5</f>
        <v>597.29999999999995</v>
      </c>
      <c r="I129" s="71">
        <f>$E129/spotřeba!$C$6</f>
        <v>603.33333333333337</v>
      </c>
      <c r="J129" s="70">
        <f>$F129/spotřeba!$C$6</f>
        <v>730.0333333333333</v>
      </c>
      <c r="K129" s="69">
        <f>$E129/spotřeba!$C$7</f>
        <v>724</v>
      </c>
      <c r="L129" s="70">
        <f>$F129/spotřeba!$C$7</f>
        <v>876.04</v>
      </c>
      <c r="M129" s="71">
        <f>$E129/spotřeba!$C$8</f>
        <v>868.8</v>
      </c>
      <c r="N129" s="72">
        <f>$F129/spotřeba!$C$8</f>
        <v>1051.248</v>
      </c>
      <c r="O129" s="69">
        <f>$E129/spotřeba!$C$9</f>
        <v>1234.090909090909</v>
      </c>
      <c r="P129" s="70">
        <f>$F129/spotřeba!$C$9</f>
        <v>1493.25</v>
      </c>
    </row>
    <row r="130" spans="1:16" x14ac:dyDescent="0.25">
      <c r="A130" s="1" t="str">
        <f t="shared" si="6"/>
        <v>2472024-7</v>
      </c>
      <c r="B130" s="35">
        <v>247202</v>
      </c>
      <c r="C130" s="65" t="s">
        <v>33</v>
      </c>
      <c r="D130" s="66" t="s">
        <v>32</v>
      </c>
      <c r="E130" s="67">
        <v>1086</v>
      </c>
      <c r="F130" s="68">
        <f t="shared" si="5"/>
        <v>1314.06</v>
      </c>
      <c r="G130" s="69" t="s">
        <v>24</v>
      </c>
      <c r="H130" s="70" t="s">
        <v>24</v>
      </c>
      <c r="I130" s="71" t="s">
        <v>24</v>
      </c>
      <c r="J130" s="70" t="s">
        <v>24</v>
      </c>
      <c r="K130" s="69">
        <f>$E130/spotřeba!$C$7</f>
        <v>724</v>
      </c>
      <c r="L130" s="70">
        <f>$F130/spotřeba!$C$7</f>
        <v>876.04</v>
      </c>
      <c r="M130" s="71">
        <f>$E130/spotřeba!$C$8</f>
        <v>868.8</v>
      </c>
      <c r="N130" s="72">
        <f>$F130/spotřeba!$C$8</f>
        <v>1051.248</v>
      </c>
      <c r="O130" s="69">
        <f>$E130/spotřeba!$C$9</f>
        <v>1234.090909090909</v>
      </c>
      <c r="P130" s="70">
        <f>$F130/spotřeba!$C$9</f>
        <v>1493.25</v>
      </c>
    </row>
    <row r="131" spans="1:16" x14ac:dyDescent="0.25">
      <c r="A131" s="1" t="str">
        <f t="shared" si="6"/>
        <v>2242122-4</v>
      </c>
      <c r="B131" s="35">
        <v>224212</v>
      </c>
      <c r="C131" s="65" t="s">
        <v>42</v>
      </c>
      <c r="D131" s="66" t="s">
        <v>26</v>
      </c>
      <c r="E131" s="67">
        <v>1116</v>
      </c>
      <c r="F131" s="68">
        <f t="shared" si="5"/>
        <v>1350.36</v>
      </c>
      <c r="G131" s="69">
        <f>$E131/spotřeba!$C$5</f>
        <v>507.27272727272725</v>
      </c>
      <c r="H131" s="70">
        <f>$F131/spotřeba!$C$5</f>
        <v>613.79999999999995</v>
      </c>
      <c r="I131" s="71">
        <f>$E131/spotřeba!$C$6</f>
        <v>620</v>
      </c>
      <c r="J131" s="70">
        <f>$F131/spotřeba!$C$6</f>
        <v>750.19999999999993</v>
      </c>
      <c r="K131" s="69">
        <f>$E131/spotřeba!$C$7</f>
        <v>744</v>
      </c>
      <c r="L131" s="70">
        <f>$F131/spotřeba!$C$7</f>
        <v>900.2399999999999</v>
      </c>
      <c r="M131" s="71">
        <f>$E131/spotřeba!$C$8</f>
        <v>892.8</v>
      </c>
      <c r="N131" s="72">
        <f>$F131/spotřeba!$C$8</f>
        <v>1080.288</v>
      </c>
      <c r="O131" s="69">
        <f>$E131/spotřeba!$C$9</f>
        <v>1268.1818181818182</v>
      </c>
      <c r="P131" s="70">
        <f>$F131/spotřeba!$C$9</f>
        <v>1534.4999999999998</v>
      </c>
    </row>
    <row r="132" spans="1:16" x14ac:dyDescent="0.25">
      <c r="A132" s="1" t="str">
        <f t="shared" si="6"/>
        <v>2472124-7</v>
      </c>
      <c r="B132" s="35">
        <v>247212</v>
      </c>
      <c r="C132" s="65" t="s">
        <v>42</v>
      </c>
      <c r="D132" s="66" t="s">
        <v>32</v>
      </c>
      <c r="E132" s="67">
        <v>1116</v>
      </c>
      <c r="F132" s="68">
        <f t="shared" si="5"/>
        <v>1350.36</v>
      </c>
      <c r="G132" s="69" t="s">
        <v>24</v>
      </c>
      <c r="H132" s="70" t="s">
        <v>24</v>
      </c>
      <c r="I132" s="71" t="s">
        <v>24</v>
      </c>
      <c r="J132" s="70" t="s">
        <v>24</v>
      </c>
      <c r="K132" s="69">
        <f>$E132/spotřeba!$C$7</f>
        <v>744</v>
      </c>
      <c r="L132" s="70">
        <f>$F132/spotřeba!$C$7</f>
        <v>900.2399999999999</v>
      </c>
      <c r="M132" s="71">
        <f>$E132/spotřeba!$C$8</f>
        <v>892.8</v>
      </c>
      <c r="N132" s="72">
        <f>$F132/spotřeba!$C$8</f>
        <v>1080.288</v>
      </c>
      <c r="O132" s="69">
        <f>$E132/spotřeba!$C$9</f>
        <v>1268.1818181818182</v>
      </c>
      <c r="P132" s="70">
        <f>$F132/spotřeba!$C$9</f>
        <v>1534.4999999999998</v>
      </c>
    </row>
    <row r="133" spans="1:16" x14ac:dyDescent="0.25">
      <c r="A133" s="1" t="str">
        <f t="shared" si="6"/>
        <v>2243142-4</v>
      </c>
      <c r="B133" s="35">
        <v>224314</v>
      </c>
      <c r="C133" s="65" t="s">
        <v>58</v>
      </c>
      <c r="D133" s="66" t="s">
        <v>26</v>
      </c>
      <c r="E133" s="67">
        <v>1164</v>
      </c>
      <c r="F133" s="68">
        <f t="shared" ref="F133:F140" si="7">E133*1.21</f>
        <v>1408.44</v>
      </c>
      <c r="G133" s="69">
        <f>$E133/spotřeba!$C$5</f>
        <v>529.09090909090901</v>
      </c>
      <c r="H133" s="70">
        <f>$F133/spotřeba!$C$5</f>
        <v>640.19999999999993</v>
      </c>
      <c r="I133" s="71">
        <f>$E133/spotřeba!$C$6</f>
        <v>646.66666666666663</v>
      </c>
      <c r="J133" s="70">
        <f>$F133/spotřeba!$C$6</f>
        <v>782.4666666666667</v>
      </c>
      <c r="K133" s="69">
        <f>$E133/spotřeba!$C$7</f>
        <v>776</v>
      </c>
      <c r="L133" s="70">
        <f>$F133/spotřeba!$C$7</f>
        <v>938.96</v>
      </c>
      <c r="M133" s="71">
        <f>$E133/spotřeba!$C$8</f>
        <v>931.2</v>
      </c>
      <c r="N133" s="72">
        <f>$F133/spotřeba!$C$8</f>
        <v>1126.752</v>
      </c>
      <c r="O133" s="69">
        <f>$E133/spotřeba!$C$9</f>
        <v>1322.7272727272727</v>
      </c>
      <c r="P133" s="70">
        <f>$F133/spotřeba!$C$9</f>
        <v>1600.5</v>
      </c>
    </row>
    <row r="134" spans="1:16" x14ac:dyDescent="0.25">
      <c r="A134" s="1" t="str">
        <f t="shared" si="6"/>
        <v>2473144-7</v>
      </c>
      <c r="B134" s="35">
        <v>247314</v>
      </c>
      <c r="C134" s="65" t="s">
        <v>58</v>
      </c>
      <c r="D134" s="66" t="s">
        <v>32</v>
      </c>
      <c r="E134" s="67">
        <v>1164</v>
      </c>
      <c r="F134" s="68">
        <f t="shared" si="7"/>
        <v>1408.44</v>
      </c>
      <c r="G134" s="69" t="s">
        <v>24</v>
      </c>
      <c r="H134" s="70" t="s">
        <v>24</v>
      </c>
      <c r="I134" s="71" t="s">
        <v>24</v>
      </c>
      <c r="J134" s="70" t="s">
        <v>24</v>
      </c>
      <c r="K134" s="69">
        <f>$E134/spotřeba!$C$7</f>
        <v>776</v>
      </c>
      <c r="L134" s="70">
        <f>$F134/spotřeba!$C$7</f>
        <v>938.96</v>
      </c>
      <c r="M134" s="71">
        <f>$E134/spotřeba!$C$8</f>
        <v>931.2</v>
      </c>
      <c r="N134" s="72">
        <f>$F134/spotřeba!$C$8</f>
        <v>1126.752</v>
      </c>
      <c r="O134" s="69">
        <f>$E134/spotřeba!$C$9</f>
        <v>1322.7272727272727</v>
      </c>
      <c r="P134" s="70">
        <f>$F134/spotřeba!$C$9</f>
        <v>1600.5</v>
      </c>
    </row>
    <row r="135" spans="1:16" x14ac:dyDescent="0.25">
      <c r="A135" s="1" t="str">
        <f t="shared" si="6"/>
        <v>2243562-4</v>
      </c>
      <c r="B135" s="25">
        <v>224356</v>
      </c>
      <c r="C135" s="65" t="s">
        <v>89</v>
      </c>
      <c r="D135" s="66" t="s">
        <v>26</v>
      </c>
      <c r="E135" s="67">
        <v>1164</v>
      </c>
      <c r="F135" s="68">
        <f t="shared" si="7"/>
        <v>1408.44</v>
      </c>
      <c r="G135" s="69">
        <f>$E135/spotřeba!$C$5</f>
        <v>529.09090909090901</v>
      </c>
      <c r="H135" s="70">
        <f>$F135/spotřeba!$C$5</f>
        <v>640.19999999999993</v>
      </c>
      <c r="I135" s="71">
        <f>$E135/spotřeba!$C$6</f>
        <v>646.66666666666663</v>
      </c>
      <c r="J135" s="70">
        <f>$F135/spotřeba!$C$6</f>
        <v>782.4666666666667</v>
      </c>
      <c r="K135" s="69">
        <f>$E135/spotřeba!$C$7</f>
        <v>776</v>
      </c>
      <c r="L135" s="70">
        <f>$F135/spotřeba!$C$7</f>
        <v>938.96</v>
      </c>
      <c r="M135" s="71">
        <f>$E135/spotřeba!$C$8</f>
        <v>931.2</v>
      </c>
      <c r="N135" s="72">
        <f>$F135/spotřeba!$C$8</f>
        <v>1126.752</v>
      </c>
      <c r="O135" s="69">
        <f>$E135/spotřeba!$C$9</f>
        <v>1322.7272727272727</v>
      </c>
      <c r="P135" s="70">
        <f>$F135/spotřeba!$C$9</f>
        <v>1600.5</v>
      </c>
    </row>
    <row r="136" spans="1:16" x14ac:dyDescent="0.25">
      <c r="A136" s="1" t="str">
        <f t="shared" si="6"/>
        <v>2473564-7</v>
      </c>
      <c r="B136" s="25">
        <v>247356</v>
      </c>
      <c r="C136" s="65" t="s">
        <v>89</v>
      </c>
      <c r="D136" s="66" t="s">
        <v>32</v>
      </c>
      <c r="E136" s="67">
        <v>1164</v>
      </c>
      <c r="F136" s="68">
        <f t="shared" si="7"/>
        <v>1408.44</v>
      </c>
      <c r="G136" s="69" t="s">
        <v>24</v>
      </c>
      <c r="H136" s="70" t="s">
        <v>24</v>
      </c>
      <c r="I136" s="71" t="s">
        <v>24</v>
      </c>
      <c r="J136" s="70" t="s">
        <v>24</v>
      </c>
      <c r="K136" s="69">
        <f>$E136/spotřeba!$C$7</f>
        <v>776</v>
      </c>
      <c r="L136" s="70">
        <f>$F136/spotřeba!$C$7</f>
        <v>938.96</v>
      </c>
      <c r="M136" s="71">
        <f>$E136/spotřeba!$C$8</f>
        <v>931.2</v>
      </c>
      <c r="N136" s="72">
        <f>$F136/spotřeba!$C$8</f>
        <v>1126.752</v>
      </c>
      <c r="O136" s="69">
        <f>$E136/spotřeba!$C$9</f>
        <v>1322.7272727272727</v>
      </c>
      <c r="P136" s="70">
        <f>$F136/spotřeba!$C$9</f>
        <v>1600.5</v>
      </c>
    </row>
    <row r="137" spans="1:16" x14ac:dyDescent="0.25">
      <c r="A137" s="1" t="str">
        <f t="shared" si="6"/>
        <v>2242082-4</v>
      </c>
      <c r="B137" s="35">
        <v>224208</v>
      </c>
      <c r="C137" s="65" t="s">
        <v>38</v>
      </c>
      <c r="D137" s="66" t="s">
        <v>26</v>
      </c>
      <c r="E137" s="67">
        <v>1098</v>
      </c>
      <c r="F137" s="68">
        <f t="shared" si="7"/>
        <v>1328.58</v>
      </c>
      <c r="G137" s="69">
        <f>$E137/spotřeba!$C$5</f>
        <v>499.09090909090907</v>
      </c>
      <c r="H137" s="70">
        <f>$F137/spotřeba!$C$5</f>
        <v>603.89999999999986</v>
      </c>
      <c r="I137" s="71">
        <f>$E137/spotřeba!$C$6</f>
        <v>610</v>
      </c>
      <c r="J137" s="72">
        <f>$F137/spotřeba!$C$6</f>
        <v>738.09999999999991</v>
      </c>
      <c r="K137" s="69">
        <f>$E137/spotřeba!$C$7</f>
        <v>732</v>
      </c>
      <c r="L137" s="70">
        <f>$F137/spotřeba!$C$7</f>
        <v>885.71999999999991</v>
      </c>
      <c r="M137" s="71">
        <f>$E137/spotřeba!$C$8</f>
        <v>878.4</v>
      </c>
      <c r="N137" s="72">
        <f>$F137/spotřeba!$C$8</f>
        <v>1062.864</v>
      </c>
      <c r="O137" s="69">
        <f>$E137/spotřeba!$C$9</f>
        <v>1247.7272727272727</v>
      </c>
      <c r="P137" s="70">
        <f>$F137/spotřeba!$C$9</f>
        <v>1509.75</v>
      </c>
    </row>
    <row r="138" spans="1:16" x14ac:dyDescent="0.25">
      <c r="A138" s="1" t="str">
        <f t="shared" si="6"/>
        <v>2472084-7</v>
      </c>
      <c r="B138" s="35">
        <v>247208</v>
      </c>
      <c r="C138" s="65" t="s">
        <v>38</v>
      </c>
      <c r="D138" s="66" t="s">
        <v>32</v>
      </c>
      <c r="E138" s="67">
        <v>1098</v>
      </c>
      <c r="F138" s="68">
        <f t="shared" si="7"/>
        <v>1328.58</v>
      </c>
      <c r="G138" s="69" t="s">
        <v>24</v>
      </c>
      <c r="H138" s="70" t="s">
        <v>24</v>
      </c>
      <c r="I138" s="71" t="s">
        <v>24</v>
      </c>
      <c r="J138" s="70" t="s">
        <v>24</v>
      </c>
      <c r="K138" s="69">
        <f>$E138/spotřeba!$C$7</f>
        <v>732</v>
      </c>
      <c r="L138" s="70">
        <f>$F138/spotřeba!$C$7</f>
        <v>885.71999999999991</v>
      </c>
      <c r="M138" s="71">
        <f>$E138/spotřeba!$C$8</f>
        <v>878.4</v>
      </c>
      <c r="N138" s="72">
        <f>$F138/spotřeba!$C$8</f>
        <v>1062.864</v>
      </c>
      <c r="O138" s="69">
        <f>$E138/spotřeba!$C$9</f>
        <v>1247.7272727272727</v>
      </c>
      <c r="P138" s="70">
        <f>$F138/spotřeba!$C$9</f>
        <v>1509.75</v>
      </c>
    </row>
    <row r="139" spans="1:16" x14ac:dyDescent="0.25">
      <c r="A139" s="1" t="str">
        <f t="shared" si="6"/>
        <v>2243472-4</v>
      </c>
      <c r="B139" s="35">
        <v>224347</v>
      </c>
      <c r="C139" s="65" t="s">
        <v>81</v>
      </c>
      <c r="D139" s="66" t="s">
        <v>26</v>
      </c>
      <c r="E139" s="67">
        <v>1164</v>
      </c>
      <c r="F139" s="68">
        <f t="shared" si="7"/>
        <v>1408.44</v>
      </c>
      <c r="G139" s="69">
        <f>$E139/spotřeba!$C$5</f>
        <v>529.09090909090901</v>
      </c>
      <c r="H139" s="70">
        <f>$F139/spotřeba!$C$5</f>
        <v>640.19999999999993</v>
      </c>
      <c r="I139" s="71">
        <f>$E139/spotřeba!$C$6</f>
        <v>646.66666666666663</v>
      </c>
      <c r="J139" s="72">
        <f>$F139/spotřeba!$C$6</f>
        <v>782.4666666666667</v>
      </c>
      <c r="K139" s="69">
        <f>$E139/spotřeba!$C$7</f>
        <v>776</v>
      </c>
      <c r="L139" s="70">
        <f>$F139/spotřeba!$C$7</f>
        <v>938.96</v>
      </c>
      <c r="M139" s="71">
        <f>$E139/spotřeba!$C$8</f>
        <v>931.2</v>
      </c>
      <c r="N139" s="72">
        <f>$F139/spotřeba!$C$8</f>
        <v>1126.752</v>
      </c>
      <c r="O139" s="69">
        <f>$E139/spotřeba!$C$9</f>
        <v>1322.7272727272727</v>
      </c>
      <c r="P139" s="70">
        <f>$F139/spotřeba!$C$9</f>
        <v>1600.5</v>
      </c>
    </row>
    <row r="140" spans="1:16" ht="16.5" thickBot="1" x14ac:dyDescent="0.3">
      <c r="A140" s="1" t="str">
        <f t="shared" si="6"/>
        <v>2473474-7</v>
      </c>
      <c r="B140" s="223">
        <v>247347</v>
      </c>
      <c r="C140" s="73" t="s">
        <v>81</v>
      </c>
      <c r="D140" s="74" t="s">
        <v>32</v>
      </c>
      <c r="E140" s="75">
        <v>1164</v>
      </c>
      <c r="F140" s="76">
        <f t="shared" si="7"/>
        <v>1408.44</v>
      </c>
      <c r="G140" s="77" t="s">
        <v>24</v>
      </c>
      <c r="H140" s="78" t="s">
        <v>24</v>
      </c>
      <c r="I140" s="79" t="s">
        <v>24</v>
      </c>
      <c r="J140" s="78" t="s">
        <v>24</v>
      </c>
      <c r="K140" s="77">
        <f>$E140/spotřeba!$C$7</f>
        <v>776</v>
      </c>
      <c r="L140" s="78">
        <f>$F140/spotřeba!$C$7</f>
        <v>938.96</v>
      </c>
      <c r="M140" s="79">
        <f>$E140/spotřeba!$C$8</f>
        <v>931.2</v>
      </c>
      <c r="N140" s="80">
        <f>$F140/spotřeba!$C$8</f>
        <v>1126.752</v>
      </c>
      <c r="O140" s="77">
        <f>$E140/spotřeba!$C$9</f>
        <v>1322.7272727272727</v>
      </c>
      <c r="P140" s="78">
        <f>$F140/spotřeba!$C$9</f>
        <v>1600.5</v>
      </c>
    </row>
  </sheetData>
  <sheetProtection formatCells="0" formatColumns="0" formatRows="0" insertColumns="0" insertRows="0" insertHyperlinks="0" deleteColumns="0" deleteRows="0" sort="0" autoFilter="0" pivotTables="0"/>
  <autoFilter ref="A1:A140"/>
  <sortState ref="B5:P140">
    <sortCondition ref="C5:C140"/>
    <sortCondition ref="D5:D140"/>
  </sortState>
  <mergeCells count="11">
    <mergeCell ref="O3:P3"/>
    <mergeCell ref="B1:P1"/>
    <mergeCell ref="B2:B4"/>
    <mergeCell ref="C2:C4"/>
    <mergeCell ref="D2:D4"/>
    <mergeCell ref="E2:F3"/>
    <mergeCell ref="G2:P2"/>
    <mergeCell ref="G3:H3"/>
    <mergeCell ref="I3:J3"/>
    <mergeCell ref="K3:L3"/>
    <mergeCell ref="M3:N3"/>
  </mergeCells>
  <printOptions horizontalCentered="1" verticalCentered="1"/>
  <pageMargins left="0.19685039370078741" right="0.19685039370078741" top="0.98425196850393704" bottom="0.19685039370078741" header="0" footer="0"/>
  <pageSetup paperSize="9" scale="89" orientation="landscape" r:id="rId1"/>
  <headerFooter>
    <oddHeader>&amp;L       &amp;G</oddHeader>
  </headerFooter>
  <rowBreaks count="4" manualBreakCount="4">
    <brk id="30" min="1" max="15" man="1"/>
    <brk id="56" min="1" max="15" man="1"/>
    <brk id="82" min="1" max="15" man="1"/>
    <brk id="112" min="1" max="15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zoomScaleNormal="100" workbookViewId="0">
      <selection activeCell="D32" sqref="D32:H32"/>
    </sheetView>
  </sheetViews>
  <sheetFormatPr defaultRowHeight="15.75" x14ac:dyDescent="0.25"/>
  <cols>
    <col min="1" max="1" width="9.140625" style="1"/>
    <col min="2" max="2" width="9.7109375" style="2" customWidth="1"/>
    <col min="3" max="3" width="13.28515625" style="53" customWidth="1"/>
    <col min="4" max="4" width="6" style="54" customWidth="1"/>
    <col min="5" max="5" width="9.140625" style="55" customWidth="1"/>
    <col min="6" max="8" width="9.140625" style="3" customWidth="1"/>
    <col min="9" max="16384" width="9.140625" style="1"/>
  </cols>
  <sheetData>
    <row r="1" spans="1:12" ht="19.5" customHeight="1" thickBot="1" x14ac:dyDescent="0.4">
      <c r="B1" s="377" t="s">
        <v>300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</row>
    <row r="2" spans="1:12" ht="33.75" customHeight="1" thickBot="1" x14ac:dyDescent="0.3">
      <c r="B2" s="353" t="s">
        <v>10</v>
      </c>
      <c r="C2" s="356" t="s">
        <v>11</v>
      </c>
      <c r="D2" s="357" t="s">
        <v>12</v>
      </c>
      <c r="E2" s="378" t="s">
        <v>99</v>
      </c>
      <c r="F2" s="379"/>
      <c r="G2" s="382" t="s">
        <v>14</v>
      </c>
      <c r="H2" s="382"/>
      <c r="I2" s="382"/>
      <c r="J2" s="382"/>
      <c r="K2" s="382"/>
      <c r="L2" s="383"/>
    </row>
    <row r="3" spans="1:12" ht="14.25" customHeight="1" x14ac:dyDescent="0.25">
      <c r="B3" s="354"/>
      <c r="C3" s="354"/>
      <c r="D3" s="354"/>
      <c r="E3" s="380"/>
      <c r="F3" s="381"/>
      <c r="G3" s="365" t="s">
        <v>15</v>
      </c>
      <c r="H3" s="384"/>
      <c r="I3" s="365" t="s">
        <v>16</v>
      </c>
      <c r="J3" s="359"/>
      <c r="K3" s="385" t="s">
        <v>17</v>
      </c>
      <c r="L3" s="359"/>
    </row>
    <row r="4" spans="1:12" thickBot="1" x14ac:dyDescent="0.3">
      <c r="B4" s="355"/>
      <c r="C4" s="355"/>
      <c r="D4" s="355"/>
      <c r="E4" s="81" t="s">
        <v>20</v>
      </c>
      <c r="F4" s="82" t="s">
        <v>21</v>
      </c>
      <c r="G4" s="15" t="s">
        <v>20</v>
      </c>
      <c r="H4" s="83" t="s">
        <v>21</v>
      </c>
      <c r="I4" s="15" t="s">
        <v>20</v>
      </c>
      <c r="J4" s="16" t="s">
        <v>21</v>
      </c>
      <c r="K4" s="84" t="s">
        <v>20</v>
      </c>
      <c r="L4" s="16" t="s">
        <v>21</v>
      </c>
    </row>
    <row r="5" spans="1:12" ht="15" customHeight="1" x14ac:dyDescent="0.25">
      <c r="A5" s="1" t="str">
        <f t="shared" ref="A5:A29" si="0">B5&amp;D5</f>
        <v>2242042-4</v>
      </c>
      <c r="B5" s="17">
        <v>224204</v>
      </c>
      <c r="C5" s="85" t="s">
        <v>35</v>
      </c>
      <c r="D5" s="19" t="s">
        <v>26</v>
      </c>
      <c r="E5" s="20">
        <v>3255.6</v>
      </c>
      <c r="F5" s="21">
        <f t="shared" ref="F5:F36" si="1">E5*1.21</f>
        <v>3939.2759999999998</v>
      </c>
      <c r="G5" s="23">
        <f>$E5/spotřeba!$C$5</f>
        <v>1479.8181818181818</v>
      </c>
      <c r="H5" s="206">
        <f>$F5/spotřeba!$C$5</f>
        <v>1790.5799999999997</v>
      </c>
      <c r="I5" s="23">
        <f>$E5/spotřeba!$C$6</f>
        <v>1808.6666666666665</v>
      </c>
      <c r="J5" s="24">
        <f>$F5/spotřeba!$C$6</f>
        <v>2188.4866666666667</v>
      </c>
      <c r="K5" s="22">
        <f>$E5/spotřeba!$C$7</f>
        <v>2170.4</v>
      </c>
      <c r="L5" s="24">
        <f>$F5/spotřeba!$C$7</f>
        <v>2626.1839999999997</v>
      </c>
    </row>
    <row r="6" spans="1:12" ht="15" customHeight="1" x14ac:dyDescent="0.25">
      <c r="A6" s="1" t="str">
        <f t="shared" si="0"/>
        <v>2243322-4</v>
      </c>
      <c r="B6" s="25">
        <v>224332</v>
      </c>
      <c r="C6" s="34" t="s">
        <v>71</v>
      </c>
      <c r="D6" s="27" t="s">
        <v>26</v>
      </c>
      <c r="E6" s="28">
        <v>3321.6</v>
      </c>
      <c r="F6" s="29">
        <f t="shared" si="1"/>
        <v>4019.136</v>
      </c>
      <c r="G6" s="32">
        <f>$E6/spotřeba!$C$5</f>
        <v>1509.8181818181818</v>
      </c>
      <c r="H6" s="31">
        <f>$F6/spotřeba!$C$5</f>
        <v>1826.8799999999999</v>
      </c>
      <c r="I6" s="32">
        <f>$E6/spotřeba!$C$6</f>
        <v>1845.3333333333333</v>
      </c>
      <c r="J6" s="33">
        <f>$F6/spotřeba!$C$6</f>
        <v>2232.8533333333335</v>
      </c>
      <c r="K6" s="30">
        <f>$E6/spotřeba!$C$7</f>
        <v>2214.4</v>
      </c>
      <c r="L6" s="33">
        <f>$F6/spotřeba!$C$7</f>
        <v>2679.424</v>
      </c>
    </row>
    <row r="7" spans="1:12" ht="15" customHeight="1" x14ac:dyDescent="0.25">
      <c r="A7" s="1" t="str">
        <f t="shared" si="0"/>
        <v>2241022-4</v>
      </c>
      <c r="B7" s="25">
        <v>224102</v>
      </c>
      <c r="C7" s="34" t="s">
        <v>25</v>
      </c>
      <c r="D7" s="27" t="s">
        <v>26</v>
      </c>
      <c r="E7" s="28">
        <v>2977.2</v>
      </c>
      <c r="F7" s="29">
        <f t="shared" si="1"/>
        <v>3602.4119999999998</v>
      </c>
      <c r="G7" s="32">
        <f>$E7/spotřeba!$C$5</f>
        <v>1353.272727272727</v>
      </c>
      <c r="H7" s="31">
        <f>$F7/spotřeba!$C$5</f>
        <v>1637.4599999999998</v>
      </c>
      <c r="I7" s="32">
        <f>$E7/spotřeba!$C$6</f>
        <v>1653.9999999999998</v>
      </c>
      <c r="J7" s="207">
        <f>$F7/spotřeba!$C$6</f>
        <v>2001.34</v>
      </c>
      <c r="K7" s="30">
        <f>$E7/spotřeba!$C$7</f>
        <v>1984.8</v>
      </c>
      <c r="L7" s="207">
        <f>$F7/spotřeba!$C$7</f>
        <v>2401.6079999999997</v>
      </c>
    </row>
    <row r="8" spans="1:12" ht="15" customHeight="1" x14ac:dyDescent="0.25">
      <c r="A8" s="1" t="str">
        <f t="shared" si="0"/>
        <v>2242152-4</v>
      </c>
      <c r="B8" s="25">
        <v>224215</v>
      </c>
      <c r="C8" s="34" t="s">
        <v>44</v>
      </c>
      <c r="D8" s="27" t="s">
        <v>26</v>
      </c>
      <c r="E8" s="28">
        <v>3357.6</v>
      </c>
      <c r="F8" s="29">
        <f t="shared" si="1"/>
        <v>4062.6959999999999</v>
      </c>
      <c r="G8" s="32">
        <f>$E8/spotřeba!$C$5</f>
        <v>1526.181818181818</v>
      </c>
      <c r="H8" s="31">
        <f>$F8/spotřeba!$C$5</f>
        <v>1846.6799999999998</v>
      </c>
      <c r="I8" s="32">
        <f>$E8/spotřeba!$C$6</f>
        <v>1865.3333333333333</v>
      </c>
      <c r="J8" s="33">
        <f>$F8/spotřeba!$C$6</f>
        <v>2257.0533333333333</v>
      </c>
      <c r="K8" s="30">
        <f>$E8/spotřeba!$C$7</f>
        <v>2238.4</v>
      </c>
      <c r="L8" s="33">
        <f>$F8/spotřeba!$C$7</f>
        <v>2708.4639999999999</v>
      </c>
    </row>
    <row r="9" spans="1:12" ht="15" customHeight="1" x14ac:dyDescent="0.25">
      <c r="A9" s="1" t="str">
        <f t="shared" si="0"/>
        <v>2243062-4</v>
      </c>
      <c r="B9" s="25">
        <v>224306</v>
      </c>
      <c r="C9" s="34" t="s">
        <v>51</v>
      </c>
      <c r="D9" s="27" t="s">
        <v>26</v>
      </c>
      <c r="E9" s="28">
        <v>3321.6</v>
      </c>
      <c r="F9" s="29">
        <f t="shared" si="1"/>
        <v>4019.136</v>
      </c>
      <c r="G9" s="32">
        <f>$E9/spotřeba!$C$5</f>
        <v>1509.8181818181818</v>
      </c>
      <c r="H9" s="31">
        <f>$F9/spotřeba!$C$5</f>
        <v>1826.8799999999999</v>
      </c>
      <c r="I9" s="32">
        <f>$E9/spotřeba!$C$6</f>
        <v>1845.3333333333333</v>
      </c>
      <c r="J9" s="33">
        <f>$F9/spotřeba!$C$6</f>
        <v>2232.8533333333335</v>
      </c>
      <c r="K9" s="30">
        <f>$E9/spotřeba!$C$7</f>
        <v>2214.4</v>
      </c>
      <c r="L9" s="33">
        <f>$F9/spotřeba!$C$7</f>
        <v>2679.424</v>
      </c>
    </row>
    <row r="10" spans="1:12" ht="15" customHeight="1" x14ac:dyDescent="0.25">
      <c r="A10" s="1" t="str">
        <f t="shared" si="0"/>
        <v>2243392-4</v>
      </c>
      <c r="B10" s="25">
        <v>224339</v>
      </c>
      <c r="C10" s="34" t="s">
        <v>77</v>
      </c>
      <c r="D10" s="27" t="s">
        <v>26</v>
      </c>
      <c r="E10" s="28">
        <v>3321.6</v>
      </c>
      <c r="F10" s="29">
        <f t="shared" si="1"/>
        <v>4019.136</v>
      </c>
      <c r="G10" s="32">
        <f>$E10/spotřeba!$C$5</f>
        <v>1509.8181818181818</v>
      </c>
      <c r="H10" s="31">
        <f>$F10/spotřeba!$C$5</f>
        <v>1826.8799999999999</v>
      </c>
      <c r="I10" s="32">
        <f>$E10/spotřeba!$C$6</f>
        <v>1845.3333333333333</v>
      </c>
      <c r="J10" s="33">
        <f>$F10/spotřeba!$C$6</f>
        <v>2232.8533333333335</v>
      </c>
      <c r="K10" s="30">
        <f>$E10/spotřeba!$C$7</f>
        <v>2214.4</v>
      </c>
      <c r="L10" s="33">
        <f>$F10/spotřeba!$C$7</f>
        <v>2679.424</v>
      </c>
    </row>
    <row r="11" spans="1:12" ht="15" customHeight="1" x14ac:dyDescent="0.25">
      <c r="A11" s="1" t="str">
        <f t="shared" si="0"/>
        <v>2243282-4</v>
      </c>
      <c r="B11" s="25">
        <v>224328</v>
      </c>
      <c r="C11" s="34" t="s">
        <v>67</v>
      </c>
      <c r="D11" s="27" t="s">
        <v>26</v>
      </c>
      <c r="E11" s="28">
        <v>3321.6</v>
      </c>
      <c r="F11" s="29">
        <f t="shared" si="1"/>
        <v>4019.136</v>
      </c>
      <c r="G11" s="32">
        <f>$E11/spotřeba!$C$5</f>
        <v>1509.8181818181818</v>
      </c>
      <c r="H11" s="31">
        <f>$F11/spotřeba!$C$5</f>
        <v>1826.8799999999999</v>
      </c>
      <c r="I11" s="32">
        <f>$E11/spotřeba!$C$6</f>
        <v>1845.3333333333333</v>
      </c>
      <c r="J11" s="33">
        <f>$F11/spotřeba!$C$6</f>
        <v>2232.8533333333335</v>
      </c>
      <c r="K11" s="30">
        <f>$E11/spotřeba!$C$7</f>
        <v>2214.4</v>
      </c>
      <c r="L11" s="33">
        <f>$F11/spotřeba!$C$7</f>
        <v>2679.424</v>
      </c>
    </row>
    <row r="12" spans="1:12" ht="15" customHeight="1" x14ac:dyDescent="0.25">
      <c r="A12" s="1" t="str">
        <f t="shared" si="0"/>
        <v>2243552-4</v>
      </c>
      <c r="B12" s="25">
        <v>224355</v>
      </c>
      <c r="C12" s="34" t="s">
        <v>88</v>
      </c>
      <c r="D12" s="27" t="s">
        <v>26</v>
      </c>
      <c r="E12" s="28">
        <v>3321.6</v>
      </c>
      <c r="F12" s="29">
        <f t="shared" si="1"/>
        <v>4019.136</v>
      </c>
      <c r="G12" s="32">
        <f>$E12/spotřeba!$C$5</f>
        <v>1509.8181818181818</v>
      </c>
      <c r="H12" s="31">
        <f>$F12/spotřeba!$C$5</f>
        <v>1826.8799999999999</v>
      </c>
      <c r="I12" s="32">
        <f>$E12/spotřeba!$C$6</f>
        <v>1845.3333333333333</v>
      </c>
      <c r="J12" s="33">
        <f>$F12/spotřeba!$C$6</f>
        <v>2232.8533333333335</v>
      </c>
      <c r="K12" s="30">
        <f>$E12/spotřeba!$C$7</f>
        <v>2214.4</v>
      </c>
      <c r="L12" s="33">
        <f>$F12/spotřeba!$C$7</f>
        <v>2679.424</v>
      </c>
    </row>
    <row r="13" spans="1:12" ht="15" customHeight="1" x14ac:dyDescent="0.25">
      <c r="A13" s="1" t="str">
        <f t="shared" si="0"/>
        <v>2243642-4</v>
      </c>
      <c r="B13" s="25">
        <v>224364</v>
      </c>
      <c r="C13" s="34" t="s">
        <v>97</v>
      </c>
      <c r="D13" s="27" t="s">
        <v>26</v>
      </c>
      <c r="E13" s="28">
        <v>3321.6</v>
      </c>
      <c r="F13" s="29">
        <f t="shared" si="1"/>
        <v>4019.136</v>
      </c>
      <c r="G13" s="32">
        <f>$E13/spotřeba!$C$5</f>
        <v>1509.8181818181818</v>
      </c>
      <c r="H13" s="31">
        <f>$F13/spotřeba!$C$5</f>
        <v>1826.8799999999999</v>
      </c>
      <c r="I13" s="32">
        <f>$E13/spotřeba!$C$6</f>
        <v>1845.3333333333333</v>
      </c>
      <c r="J13" s="207">
        <f>$F13/spotřeba!$C$6</f>
        <v>2232.8533333333335</v>
      </c>
      <c r="K13" s="30">
        <f>$E13/spotřeba!$C$7</f>
        <v>2214.4</v>
      </c>
      <c r="L13" s="207">
        <f>$F13/spotřeba!$C$7</f>
        <v>2679.424</v>
      </c>
    </row>
    <row r="14" spans="1:12" ht="15" customHeight="1" x14ac:dyDescent="0.25">
      <c r="A14" s="1" t="str">
        <f t="shared" si="0"/>
        <v>2243622-4</v>
      </c>
      <c r="B14" s="25">
        <v>224362</v>
      </c>
      <c r="C14" s="34" t="s">
        <v>95</v>
      </c>
      <c r="D14" s="27" t="s">
        <v>26</v>
      </c>
      <c r="E14" s="28">
        <v>3321.6</v>
      </c>
      <c r="F14" s="29">
        <f t="shared" si="1"/>
        <v>4019.136</v>
      </c>
      <c r="G14" s="32">
        <f>$E14/spotřeba!$C$5</f>
        <v>1509.8181818181818</v>
      </c>
      <c r="H14" s="31">
        <f>$F14/spotřeba!$C$5</f>
        <v>1826.8799999999999</v>
      </c>
      <c r="I14" s="32">
        <f>$E14/spotřeba!$C$6</f>
        <v>1845.3333333333333</v>
      </c>
      <c r="J14" s="33">
        <f>$F14/spotřeba!$C$6</f>
        <v>2232.8533333333335</v>
      </c>
      <c r="K14" s="30">
        <f>$E14/spotřeba!$C$7</f>
        <v>2214.4</v>
      </c>
      <c r="L14" s="33">
        <f>$F14/spotřeba!$C$7</f>
        <v>2679.424</v>
      </c>
    </row>
    <row r="15" spans="1:12" ht="15" customHeight="1" x14ac:dyDescent="0.25">
      <c r="A15" s="1" t="str">
        <f t="shared" si="0"/>
        <v>2243052-4</v>
      </c>
      <c r="B15" s="25">
        <v>224305</v>
      </c>
      <c r="C15" s="34" t="s">
        <v>50</v>
      </c>
      <c r="D15" s="27" t="s">
        <v>26</v>
      </c>
      <c r="E15" s="28">
        <v>3321.6</v>
      </c>
      <c r="F15" s="29">
        <f t="shared" si="1"/>
        <v>4019.136</v>
      </c>
      <c r="G15" s="32">
        <f>$E15/spotřeba!$C$5</f>
        <v>1509.8181818181818</v>
      </c>
      <c r="H15" s="31">
        <f>$F15/spotřeba!$C$5</f>
        <v>1826.8799999999999</v>
      </c>
      <c r="I15" s="32">
        <f>$E15/spotřeba!$C$6</f>
        <v>1845.3333333333333</v>
      </c>
      <c r="J15" s="33">
        <f>$F15/spotřeba!$C$6</f>
        <v>2232.8533333333335</v>
      </c>
      <c r="K15" s="30">
        <f>$E15/spotřeba!$C$7</f>
        <v>2214.4</v>
      </c>
      <c r="L15" s="33">
        <f>$F15/spotřeba!$C$7</f>
        <v>2679.424</v>
      </c>
    </row>
    <row r="16" spans="1:12" ht="15" customHeight="1" x14ac:dyDescent="0.25">
      <c r="A16" s="1" t="str">
        <f t="shared" si="0"/>
        <v>2243632-4</v>
      </c>
      <c r="B16" s="25">
        <v>224363</v>
      </c>
      <c r="C16" s="34" t="s">
        <v>96</v>
      </c>
      <c r="D16" s="27" t="s">
        <v>26</v>
      </c>
      <c r="E16" s="28">
        <v>3321.6</v>
      </c>
      <c r="F16" s="29">
        <f t="shared" si="1"/>
        <v>4019.136</v>
      </c>
      <c r="G16" s="32">
        <f>$E16/spotřeba!$C$5</f>
        <v>1509.8181818181818</v>
      </c>
      <c r="H16" s="31">
        <f>$F16/spotřeba!$C$5</f>
        <v>1826.8799999999999</v>
      </c>
      <c r="I16" s="32">
        <f>$E16/spotřeba!$C$6</f>
        <v>1845.3333333333333</v>
      </c>
      <c r="J16" s="33">
        <f>$F16/spotřeba!$C$6</f>
        <v>2232.8533333333335</v>
      </c>
      <c r="K16" s="30">
        <f>$E16/spotřeba!$C$7</f>
        <v>2214.4</v>
      </c>
      <c r="L16" s="33">
        <f>$F16/spotřeba!$C$7</f>
        <v>2679.424</v>
      </c>
    </row>
    <row r="17" spans="1:12" ht="15" customHeight="1" x14ac:dyDescent="0.25">
      <c r="A17" s="1" t="str">
        <f t="shared" si="0"/>
        <v>2243522-4</v>
      </c>
      <c r="B17" s="25">
        <v>224352</v>
      </c>
      <c r="C17" s="34" t="s">
        <v>86</v>
      </c>
      <c r="D17" s="27" t="s">
        <v>26</v>
      </c>
      <c r="E17" s="28">
        <v>3321.6</v>
      </c>
      <c r="F17" s="29">
        <f t="shared" si="1"/>
        <v>4019.136</v>
      </c>
      <c r="G17" s="32">
        <f>$E17/spotřeba!$C$5</f>
        <v>1509.8181818181818</v>
      </c>
      <c r="H17" s="31">
        <f>$F17/spotřeba!$C$5</f>
        <v>1826.8799999999999</v>
      </c>
      <c r="I17" s="32">
        <f>$E17/spotřeba!$C$6</f>
        <v>1845.3333333333333</v>
      </c>
      <c r="J17" s="33">
        <f>$F17/spotřeba!$C$6</f>
        <v>2232.8533333333335</v>
      </c>
      <c r="K17" s="30">
        <f>$E17/spotřeba!$C$7</f>
        <v>2214.4</v>
      </c>
      <c r="L17" s="33">
        <f>$F17/spotřeba!$C$7</f>
        <v>2679.424</v>
      </c>
    </row>
    <row r="18" spans="1:12" ht="15" customHeight="1" x14ac:dyDescent="0.25">
      <c r="A18" s="1" t="str">
        <f t="shared" si="0"/>
        <v>2243302-4</v>
      </c>
      <c r="B18" s="25">
        <v>224330</v>
      </c>
      <c r="C18" s="34" t="s">
        <v>69</v>
      </c>
      <c r="D18" s="27" t="s">
        <v>26</v>
      </c>
      <c r="E18" s="28">
        <v>3321.6</v>
      </c>
      <c r="F18" s="29">
        <f t="shared" si="1"/>
        <v>4019.136</v>
      </c>
      <c r="G18" s="32">
        <f>$E18/spotřeba!$C$5</f>
        <v>1509.8181818181818</v>
      </c>
      <c r="H18" s="31">
        <f>$F18/spotřeba!$C$5</f>
        <v>1826.8799999999999</v>
      </c>
      <c r="I18" s="32">
        <f>$E18/spotřeba!$C$6</f>
        <v>1845.3333333333333</v>
      </c>
      <c r="J18" s="33">
        <f>$F18/spotřeba!$C$6</f>
        <v>2232.8533333333335</v>
      </c>
      <c r="K18" s="30">
        <f>$E18/spotřeba!$C$7</f>
        <v>2214.4</v>
      </c>
      <c r="L18" s="33">
        <f>$F18/spotřeba!$C$7</f>
        <v>2679.424</v>
      </c>
    </row>
    <row r="19" spans="1:12" ht="15" customHeight="1" x14ac:dyDescent="0.25">
      <c r="A19" s="1" t="str">
        <f t="shared" si="0"/>
        <v>2243232-4</v>
      </c>
      <c r="B19" s="25">
        <v>224323</v>
      </c>
      <c r="C19" s="34" t="s">
        <v>63</v>
      </c>
      <c r="D19" s="27" t="s">
        <v>26</v>
      </c>
      <c r="E19" s="28">
        <v>3321.6</v>
      </c>
      <c r="F19" s="29">
        <f t="shared" si="1"/>
        <v>4019.136</v>
      </c>
      <c r="G19" s="32">
        <f>$E19/spotřeba!$C$5</f>
        <v>1509.8181818181818</v>
      </c>
      <c r="H19" s="31">
        <f>$F19/spotřeba!$C$5</f>
        <v>1826.8799999999999</v>
      </c>
      <c r="I19" s="32">
        <f>$E19/spotřeba!$C$6</f>
        <v>1845.3333333333333</v>
      </c>
      <c r="J19" s="33">
        <f>$F19/spotřeba!$C$6</f>
        <v>2232.8533333333335</v>
      </c>
      <c r="K19" s="30">
        <f>$E19/spotřeba!$C$7</f>
        <v>2214.4</v>
      </c>
      <c r="L19" s="33">
        <f>$F19/spotřeba!$C$7</f>
        <v>2679.424</v>
      </c>
    </row>
    <row r="20" spans="1:12" ht="15" customHeight="1" x14ac:dyDescent="0.25">
      <c r="A20" s="1" t="str">
        <f t="shared" si="0"/>
        <v>2243332-4</v>
      </c>
      <c r="B20" s="25">
        <v>224333</v>
      </c>
      <c r="C20" s="34" t="s">
        <v>72</v>
      </c>
      <c r="D20" s="27" t="s">
        <v>26</v>
      </c>
      <c r="E20" s="28">
        <v>3321.6</v>
      </c>
      <c r="F20" s="29">
        <f t="shared" si="1"/>
        <v>4019.136</v>
      </c>
      <c r="G20" s="32">
        <f>$E20/spotřeba!$C$5</f>
        <v>1509.8181818181818</v>
      </c>
      <c r="H20" s="31">
        <f>$F20/spotřeba!$C$5</f>
        <v>1826.8799999999999</v>
      </c>
      <c r="I20" s="32">
        <f>$E20/spotřeba!$C$6</f>
        <v>1845.3333333333333</v>
      </c>
      <c r="J20" s="33">
        <f>$F20/spotřeba!$C$6</f>
        <v>2232.8533333333335</v>
      </c>
      <c r="K20" s="30">
        <f>$E20/spotřeba!$C$7</f>
        <v>2214.4</v>
      </c>
      <c r="L20" s="33">
        <f>$F20/spotřeba!$C$7</f>
        <v>2679.424</v>
      </c>
    </row>
    <row r="21" spans="1:12" ht="15" customHeight="1" x14ac:dyDescent="0.25">
      <c r="A21" s="1" t="str">
        <f t="shared" si="0"/>
        <v>2242102-4</v>
      </c>
      <c r="B21" s="25">
        <v>224210</v>
      </c>
      <c r="C21" s="34" t="s">
        <v>40</v>
      </c>
      <c r="D21" s="27" t="s">
        <v>26</v>
      </c>
      <c r="E21" s="28">
        <v>3249.6</v>
      </c>
      <c r="F21" s="29">
        <f t="shared" si="1"/>
        <v>3932.0159999999996</v>
      </c>
      <c r="G21" s="32">
        <f>$E21/spotřeba!$C$5</f>
        <v>1477.090909090909</v>
      </c>
      <c r="H21" s="31">
        <f>$F21/spotřeba!$C$5</f>
        <v>1787.2799999999997</v>
      </c>
      <c r="I21" s="32">
        <f>$E21/spotřeba!$C$6</f>
        <v>1805.3333333333333</v>
      </c>
      <c r="J21" s="33">
        <f>$F21/spotřeba!$C$6</f>
        <v>2184.4533333333329</v>
      </c>
      <c r="K21" s="30">
        <f>$E21/spotřeba!$C$7</f>
        <v>2166.4</v>
      </c>
      <c r="L21" s="33">
        <f>$F21/spotřeba!$C$7</f>
        <v>2621.3439999999996</v>
      </c>
    </row>
    <row r="22" spans="1:12" ht="15" customHeight="1" x14ac:dyDescent="0.25">
      <c r="A22" s="1" t="str">
        <f t="shared" si="0"/>
        <v>2243502-4</v>
      </c>
      <c r="B22" s="25">
        <v>224350</v>
      </c>
      <c r="C22" s="34" t="s">
        <v>84</v>
      </c>
      <c r="D22" s="27" t="s">
        <v>26</v>
      </c>
      <c r="E22" s="28">
        <v>3321.6</v>
      </c>
      <c r="F22" s="29">
        <f t="shared" si="1"/>
        <v>4019.136</v>
      </c>
      <c r="G22" s="32">
        <f>$E22/spotřeba!$C$5</f>
        <v>1509.8181818181818</v>
      </c>
      <c r="H22" s="31">
        <f>$F22/spotřeba!$C$5</f>
        <v>1826.8799999999999</v>
      </c>
      <c r="I22" s="32">
        <f>$E22/spotřeba!$C$6</f>
        <v>1845.3333333333333</v>
      </c>
      <c r="J22" s="33">
        <f>$F22/spotřeba!$C$6</f>
        <v>2232.8533333333335</v>
      </c>
      <c r="K22" s="30">
        <f>$E22/spotřeba!$C$7</f>
        <v>2214.4</v>
      </c>
      <c r="L22" s="33">
        <f>$F22/spotřeba!$C$7</f>
        <v>2679.424</v>
      </c>
    </row>
    <row r="23" spans="1:12" ht="15" customHeight="1" x14ac:dyDescent="0.25">
      <c r="A23" s="1" t="str">
        <f t="shared" si="0"/>
        <v>2242012-4</v>
      </c>
      <c r="B23" s="25">
        <v>224201</v>
      </c>
      <c r="C23" s="34" t="s">
        <v>31</v>
      </c>
      <c r="D23" s="27" t="s">
        <v>26</v>
      </c>
      <c r="E23" s="28">
        <v>3267.6</v>
      </c>
      <c r="F23" s="29">
        <f t="shared" si="1"/>
        <v>3953.7959999999998</v>
      </c>
      <c r="G23" s="32">
        <f>$E23/spotřeba!$C$5</f>
        <v>1485.272727272727</v>
      </c>
      <c r="H23" s="31">
        <f>$F23/spotřeba!$C$5</f>
        <v>1797.1799999999998</v>
      </c>
      <c r="I23" s="32">
        <f>$E23/spotřeba!$C$6</f>
        <v>1815.3333333333333</v>
      </c>
      <c r="J23" s="33">
        <f>$F23/spotřeba!$C$6</f>
        <v>2196.5533333333333</v>
      </c>
      <c r="K23" s="30">
        <f>$E23/spotřeba!$C$7</f>
        <v>2178.4</v>
      </c>
      <c r="L23" s="33">
        <f>$F23/spotřeba!$C$7</f>
        <v>2635.864</v>
      </c>
    </row>
    <row r="24" spans="1:12" ht="15" customHeight="1" x14ac:dyDescent="0.25">
      <c r="A24" s="1" t="str">
        <f t="shared" si="0"/>
        <v>2243242-4</v>
      </c>
      <c r="B24" s="25">
        <v>224324</v>
      </c>
      <c r="C24" s="34" t="s">
        <v>64</v>
      </c>
      <c r="D24" s="27" t="s">
        <v>26</v>
      </c>
      <c r="E24" s="28">
        <v>3321.6</v>
      </c>
      <c r="F24" s="29">
        <f t="shared" si="1"/>
        <v>4019.136</v>
      </c>
      <c r="G24" s="32">
        <f>$E24/spotřeba!$C$5</f>
        <v>1509.8181818181818</v>
      </c>
      <c r="H24" s="31">
        <f>$F24/spotřeba!$C$5</f>
        <v>1826.8799999999999</v>
      </c>
      <c r="I24" s="32">
        <f>$E24/spotřeba!$C$6</f>
        <v>1845.3333333333333</v>
      </c>
      <c r="J24" s="33">
        <f>$F24/spotřeba!$C$6</f>
        <v>2232.8533333333335</v>
      </c>
      <c r="K24" s="30">
        <f>$E24/spotřeba!$C$7</f>
        <v>2214.4</v>
      </c>
      <c r="L24" s="33">
        <f>$F24/spotřeba!$C$7</f>
        <v>2679.424</v>
      </c>
    </row>
    <row r="25" spans="1:12" ht="15" customHeight="1" x14ac:dyDescent="0.25">
      <c r="A25" s="1" t="str">
        <f t="shared" si="0"/>
        <v>2243312-4</v>
      </c>
      <c r="B25" s="25">
        <v>224331</v>
      </c>
      <c r="C25" s="34" t="s">
        <v>70</v>
      </c>
      <c r="D25" s="27" t="s">
        <v>26</v>
      </c>
      <c r="E25" s="28">
        <v>3321.6</v>
      </c>
      <c r="F25" s="29">
        <f t="shared" si="1"/>
        <v>4019.136</v>
      </c>
      <c r="G25" s="32">
        <f>$E25/spotřeba!$C$5</f>
        <v>1509.8181818181818</v>
      </c>
      <c r="H25" s="31">
        <f>$F25/spotřeba!$C$5</f>
        <v>1826.8799999999999</v>
      </c>
      <c r="I25" s="32">
        <f>$E25/spotřeba!$C$6</f>
        <v>1845.3333333333333</v>
      </c>
      <c r="J25" s="33">
        <f>$F25/spotřeba!$C$6</f>
        <v>2232.8533333333335</v>
      </c>
      <c r="K25" s="30">
        <f>$E25/spotřeba!$C$7</f>
        <v>2214.4</v>
      </c>
      <c r="L25" s="33">
        <f>$F25/spotřeba!$C$7</f>
        <v>2679.424</v>
      </c>
    </row>
    <row r="26" spans="1:12" ht="15" customHeight="1" x14ac:dyDescent="0.25">
      <c r="A26" s="1" t="str">
        <f t="shared" si="0"/>
        <v>2243102-4</v>
      </c>
      <c r="B26" s="25">
        <v>224310</v>
      </c>
      <c r="C26" s="34" t="s">
        <v>55</v>
      </c>
      <c r="D26" s="27" t="s">
        <v>26</v>
      </c>
      <c r="E26" s="28">
        <v>3321.6</v>
      </c>
      <c r="F26" s="29">
        <f t="shared" si="1"/>
        <v>4019.136</v>
      </c>
      <c r="G26" s="32">
        <f>$E26/spotřeba!$C$5</f>
        <v>1509.8181818181818</v>
      </c>
      <c r="H26" s="31">
        <f>$F26/spotřeba!$C$5</f>
        <v>1826.8799999999999</v>
      </c>
      <c r="I26" s="32">
        <f>$E26/spotřeba!$C$6</f>
        <v>1845.3333333333333</v>
      </c>
      <c r="J26" s="33">
        <f>$F26/spotřeba!$C$6</f>
        <v>2232.8533333333335</v>
      </c>
      <c r="K26" s="30">
        <f>$E26/spotřeba!$C$7</f>
        <v>2214.4</v>
      </c>
      <c r="L26" s="33">
        <f>$F26/spotřeba!$C$7</f>
        <v>2679.424</v>
      </c>
    </row>
    <row r="27" spans="1:12" ht="15" customHeight="1" x14ac:dyDescent="0.25">
      <c r="A27" s="1" t="str">
        <f t="shared" si="0"/>
        <v>2243422-4</v>
      </c>
      <c r="B27" s="25">
        <v>224342</v>
      </c>
      <c r="C27" s="34" t="s">
        <v>80</v>
      </c>
      <c r="D27" s="27" t="s">
        <v>26</v>
      </c>
      <c r="E27" s="28">
        <v>3321.6</v>
      </c>
      <c r="F27" s="29">
        <f t="shared" si="1"/>
        <v>4019.136</v>
      </c>
      <c r="G27" s="32">
        <f>$E27/spotřeba!$C$5</f>
        <v>1509.8181818181818</v>
      </c>
      <c r="H27" s="31">
        <f>$F27/spotřeba!$C$5</f>
        <v>1826.8799999999999</v>
      </c>
      <c r="I27" s="32">
        <f>$E27/spotřeba!$C$6</f>
        <v>1845.3333333333333</v>
      </c>
      <c r="J27" s="33">
        <f>$F27/spotřeba!$C$6</f>
        <v>2232.8533333333335</v>
      </c>
      <c r="K27" s="30">
        <f>$E27/spotřeba!$C$7</f>
        <v>2214.4</v>
      </c>
      <c r="L27" s="33">
        <f>$F27/spotřeba!$C$7</f>
        <v>2679.424</v>
      </c>
    </row>
    <row r="28" spans="1:12" ht="15" customHeight="1" x14ac:dyDescent="0.25">
      <c r="A28" s="1" t="str">
        <f t="shared" si="0"/>
        <v>2473222-4</v>
      </c>
      <c r="B28" s="25">
        <v>247322</v>
      </c>
      <c r="C28" s="34" t="s">
        <v>62</v>
      </c>
      <c r="D28" s="27" t="s">
        <v>26</v>
      </c>
      <c r="E28" s="28">
        <v>3321.6</v>
      </c>
      <c r="F28" s="29">
        <f t="shared" si="1"/>
        <v>4019.136</v>
      </c>
      <c r="G28" s="32">
        <f>$E28/spotřeba!$C$5</f>
        <v>1509.8181818181818</v>
      </c>
      <c r="H28" s="31">
        <f>$F28/spotřeba!$C$5</f>
        <v>1826.8799999999999</v>
      </c>
      <c r="I28" s="32">
        <f>$E28/spotřeba!$C$6</f>
        <v>1845.3333333333333</v>
      </c>
      <c r="J28" s="33">
        <f>$F28/spotřeba!$C$6</f>
        <v>2232.8533333333335</v>
      </c>
      <c r="K28" s="30">
        <f>$E28/spotřeba!$C$7</f>
        <v>2214.4</v>
      </c>
      <c r="L28" s="33">
        <f>$F28/spotřeba!$C$7</f>
        <v>2679.424</v>
      </c>
    </row>
    <row r="29" spans="1:12" ht="15" customHeight="1" x14ac:dyDescent="0.25">
      <c r="A29" s="1" t="str">
        <f t="shared" si="0"/>
        <v>2243042-4</v>
      </c>
      <c r="B29" s="25">
        <v>224304</v>
      </c>
      <c r="C29" s="34" t="s">
        <v>49</v>
      </c>
      <c r="D29" s="27" t="s">
        <v>26</v>
      </c>
      <c r="E29" s="28">
        <v>3321.6</v>
      </c>
      <c r="F29" s="29">
        <f t="shared" si="1"/>
        <v>4019.136</v>
      </c>
      <c r="G29" s="32">
        <f>$E29/spotřeba!$C$5</f>
        <v>1509.8181818181818</v>
      </c>
      <c r="H29" s="31">
        <f>$F29/spotřeba!$C$5</f>
        <v>1826.8799999999999</v>
      </c>
      <c r="I29" s="32">
        <f>$E29/spotřeba!$C$6</f>
        <v>1845.3333333333333</v>
      </c>
      <c r="J29" s="33">
        <f>$F29/spotřeba!$C$6</f>
        <v>2232.8533333333335</v>
      </c>
      <c r="K29" s="30">
        <f>$E29/spotřeba!$C$7</f>
        <v>2214.4</v>
      </c>
      <c r="L29" s="33">
        <f>$F29/spotřeba!$C$7</f>
        <v>2679.424</v>
      </c>
    </row>
    <row r="30" spans="1:12" ht="15" customHeight="1" x14ac:dyDescent="0.25">
      <c r="A30" s="1" t="str">
        <f t="shared" ref="A30:A52" si="2">B30&amp;D30</f>
        <v>2243252-4</v>
      </c>
      <c r="B30" s="25">
        <v>224325</v>
      </c>
      <c r="C30" s="34" t="s">
        <v>65</v>
      </c>
      <c r="D30" s="27" t="s">
        <v>26</v>
      </c>
      <c r="E30" s="28">
        <v>3321.6</v>
      </c>
      <c r="F30" s="29">
        <f t="shared" si="1"/>
        <v>4019.136</v>
      </c>
      <c r="G30" s="32">
        <f>$E30/spotřeba!$C$5</f>
        <v>1509.8181818181818</v>
      </c>
      <c r="H30" s="31">
        <f>$F30/spotřeba!$C$5</f>
        <v>1826.8799999999999</v>
      </c>
      <c r="I30" s="32">
        <f>$E30/spotřeba!$C$6</f>
        <v>1845.3333333333333</v>
      </c>
      <c r="J30" s="33">
        <f>$F30/spotřeba!$C$6</f>
        <v>2232.8533333333335</v>
      </c>
      <c r="K30" s="30">
        <f>$E30/spotřeba!$C$7</f>
        <v>2214.4</v>
      </c>
      <c r="L30" s="33">
        <f>$F30/spotřeba!$C$7</f>
        <v>2679.424</v>
      </c>
    </row>
    <row r="31" spans="1:12" ht="15" customHeight="1" x14ac:dyDescent="0.25">
      <c r="A31" s="1" t="str">
        <f t="shared" si="2"/>
        <v>2243082-4</v>
      </c>
      <c r="B31" s="25">
        <v>224308</v>
      </c>
      <c r="C31" s="34" t="s">
        <v>53</v>
      </c>
      <c r="D31" s="27" t="s">
        <v>26</v>
      </c>
      <c r="E31" s="28">
        <v>3321.6</v>
      </c>
      <c r="F31" s="29">
        <f t="shared" si="1"/>
        <v>4019.136</v>
      </c>
      <c r="G31" s="32">
        <f>$E31/spotřeba!$C$5</f>
        <v>1509.8181818181818</v>
      </c>
      <c r="H31" s="31">
        <f>$F31/spotřeba!$C$5</f>
        <v>1826.8799999999999</v>
      </c>
      <c r="I31" s="32">
        <f>$E31/spotřeba!$C$6</f>
        <v>1845.3333333333333</v>
      </c>
      <c r="J31" s="33">
        <f>$F31/spotřeba!$C$6</f>
        <v>2232.8533333333335</v>
      </c>
      <c r="K31" s="30">
        <f>$E31/spotřeba!$C$7</f>
        <v>2214.4</v>
      </c>
      <c r="L31" s="33">
        <f>$F31/spotřeba!$C$7</f>
        <v>2679.424</v>
      </c>
    </row>
    <row r="32" spans="1:12" ht="15" customHeight="1" x14ac:dyDescent="0.25">
      <c r="A32" s="1" t="str">
        <f t="shared" si="2"/>
        <v>2243382-4</v>
      </c>
      <c r="B32" s="25">
        <v>224338</v>
      </c>
      <c r="C32" s="34" t="s">
        <v>76</v>
      </c>
      <c r="D32" s="27" t="s">
        <v>26</v>
      </c>
      <c r="E32" s="28">
        <v>3321.6</v>
      </c>
      <c r="F32" s="29">
        <f t="shared" si="1"/>
        <v>4019.136</v>
      </c>
      <c r="G32" s="32">
        <f>$E32/spotřeba!$C$5</f>
        <v>1509.8181818181818</v>
      </c>
      <c r="H32" s="31">
        <f>$F32/spotřeba!$C$5</f>
        <v>1826.8799999999999</v>
      </c>
      <c r="I32" s="32">
        <f>$E32/spotřeba!$C$6</f>
        <v>1845.3333333333333</v>
      </c>
      <c r="J32" s="33">
        <f>$F32/spotřeba!$C$6</f>
        <v>2232.8533333333335</v>
      </c>
      <c r="K32" s="30">
        <f>$E32/spotřeba!$C$7</f>
        <v>2214.4</v>
      </c>
      <c r="L32" s="33">
        <f>$F32/spotřeba!$C$7</f>
        <v>2679.424</v>
      </c>
    </row>
    <row r="33" spans="1:12" ht="15" customHeight="1" x14ac:dyDescent="0.25">
      <c r="A33" s="1" t="str">
        <f t="shared" si="2"/>
        <v>2243592-4</v>
      </c>
      <c r="B33" s="25">
        <v>224359</v>
      </c>
      <c r="C33" s="34" t="s">
        <v>92</v>
      </c>
      <c r="D33" s="27" t="s">
        <v>26</v>
      </c>
      <c r="E33" s="28">
        <v>3321.6</v>
      </c>
      <c r="F33" s="29">
        <f t="shared" si="1"/>
        <v>4019.136</v>
      </c>
      <c r="G33" s="32">
        <f>$E33/spotřeba!$C$5</f>
        <v>1509.8181818181818</v>
      </c>
      <c r="H33" s="31">
        <f>$F33/spotřeba!$C$5</f>
        <v>1826.8799999999999</v>
      </c>
      <c r="I33" s="32">
        <f>$E33/spotřeba!$C$6</f>
        <v>1845.3333333333333</v>
      </c>
      <c r="J33" s="33">
        <f>$F33/spotřeba!$C$6</f>
        <v>2232.8533333333335</v>
      </c>
      <c r="K33" s="30">
        <f>$E33/spotřeba!$C$7</f>
        <v>2214.4</v>
      </c>
      <c r="L33" s="33">
        <f>$F33/spotřeba!$C$7</f>
        <v>2679.424</v>
      </c>
    </row>
    <row r="34" spans="1:12" ht="15" customHeight="1" x14ac:dyDescent="0.25">
      <c r="A34" s="1" t="str">
        <f t="shared" si="2"/>
        <v>2243032-4</v>
      </c>
      <c r="B34" s="25">
        <v>224303</v>
      </c>
      <c r="C34" s="34" t="s">
        <v>48</v>
      </c>
      <c r="D34" s="89" t="s">
        <v>26</v>
      </c>
      <c r="E34" s="28">
        <v>3321.6</v>
      </c>
      <c r="F34" s="29">
        <f t="shared" si="1"/>
        <v>4019.136</v>
      </c>
      <c r="G34" s="30">
        <f>$E34/spotřeba!$C$5</f>
        <v>1509.8181818181818</v>
      </c>
      <c r="H34" s="31">
        <f>$F34/spotřeba!$C$5</f>
        <v>1826.8799999999999</v>
      </c>
      <c r="I34" s="32">
        <f>$E34/spotřeba!$C$6</f>
        <v>1845.3333333333333</v>
      </c>
      <c r="J34" s="33">
        <f>$F34/spotřeba!$C$6</f>
        <v>2232.8533333333335</v>
      </c>
      <c r="K34" s="30">
        <f>$E34/spotřeba!$C$7</f>
        <v>2214.4</v>
      </c>
      <c r="L34" s="33">
        <f>$F34/spotřeba!$C$7</f>
        <v>2679.424</v>
      </c>
    </row>
    <row r="35" spans="1:12" ht="15" customHeight="1" x14ac:dyDescent="0.25">
      <c r="A35" s="1" t="str">
        <f t="shared" si="2"/>
        <v>2243012-4</v>
      </c>
      <c r="B35" s="25">
        <v>224301</v>
      </c>
      <c r="C35" s="34" t="s">
        <v>47</v>
      </c>
      <c r="D35" s="89" t="s">
        <v>26</v>
      </c>
      <c r="E35" s="28">
        <v>3321.6</v>
      </c>
      <c r="F35" s="29">
        <f t="shared" si="1"/>
        <v>4019.136</v>
      </c>
      <c r="G35" s="30">
        <f>$E35/spotřeba!$C$5</f>
        <v>1509.8181818181818</v>
      </c>
      <c r="H35" s="31">
        <f>$F35/spotřeba!$C$5</f>
        <v>1826.8799999999999</v>
      </c>
      <c r="I35" s="32">
        <f>$E35/spotřeba!$C$6</f>
        <v>1845.3333333333333</v>
      </c>
      <c r="J35" s="33">
        <f>$F35/spotřeba!$C$6</f>
        <v>2232.8533333333335</v>
      </c>
      <c r="K35" s="30">
        <f>$E35/spotřeba!$C$7</f>
        <v>2214.4</v>
      </c>
      <c r="L35" s="33">
        <f>$F35/spotřeba!$C$7</f>
        <v>2679.424</v>
      </c>
    </row>
    <row r="36" spans="1:12" ht="15" customHeight="1" x14ac:dyDescent="0.25">
      <c r="A36" s="1" t="str">
        <f t="shared" si="2"/>
        <v>2243132-4</v>
      </c>
      <c r="B36" s="25">
        <v>224313</v>
      </c>
      <c r="C36" s="34" t="s">
        <v>57</v>
      </c>
      <c r="D36" s="89" t="s">
        <v>26</v>
      </c>
      <c r="E36" s="28">
        <v>3321.6</v>
      </c>
      <c r="F36" s="29">
        <f t="shared" si="1"/>
        <v>4019.136</v>
      </c>
      <c r="G36" s="30">
        <f>$E36/spotřeba!$C$5</f>
        <v>1509.8181818181818</v>
      </c>
      <c r="H36" s="31">
        <f>$F36/spotřeba!$C$5</f>
        <v>1826.8799999999999</v>
      </c>
      <c r="I36" s="32">
        <f>$E36/spotřeba!$C$6</f>
        <v>1845.3333333333333</v>
      </c>
      <c r="J36" s="33">
        <f>$F36/spotřeba!$C$6</f>
        <v>2232.8533333333335</v>
      </c>
      <c r="K36" s="30">
        <f>$E36/spotřeba!$C$7</f>
        <v>2214.4</v>
      </c>
      <c r="L36" s="33">
        <f>$F36/spotřeba!$C$7</f>
        <v>2679.424</v>
      </c>
    </row>
    <row r="37" spans="1:12" ht="15" customHeight="1" x14ac:dyDescent="0.25">
      <c r="A37" s="1" t="str">
        <f t="shared" si="2"/>
        <v>2243172-4</v>
      </c>
      <c r="B37" s="25">
        <v>224317</v>
      </c>
      <c r="C37" s="34" t="s">
        <v>61</v>
      </c>
      <c r="D37" s="89" t="s">
        <v>26</v>
      </c>
      <c r="E37" s="28">
        <v>3321.6</v>
      </c>
      <c r="F37" s="29">
        <f t="shared" ref="F37:F68" si="3">E37*1.21</f>
        <v>4019.136</v>
      </c>
      <c r="G37" s="30">
        <f>$E37/spotřeba!$C$5</f>
        <v>1509.8181818181818</v>
      </c>
      <c r="H37" s="31">
        <f>$F37/spotřeba!$C$5</f>
        <v>1826.8799999999999</v>
      </c>
      <c r="I37" s="32">
        <f>$E37/spotřeba!$C$6</f>
        <v>1845.3333333333333</v>
      </c>
      <c r="J37" s="33">
        <f>$F37/spotřeba!$C$6</f>
        <v>2232.8533333333335</v>
      </c>
      <c r="K37" s="30">
        <f>$E37/spotřeba!$C$7</f>
        <v>2214.4</v>
      </c>
      <c r="L37" s="33">
        <f>$F37/spotřeba!$C$7</f>
        <v>2679.424</v>
      </c>
    </row>
    <row r="38" spans="1:12" ht="15" customHeight="1" x14ac:dyDescent="0.25">
      <c r="A38" s="1" t="str">
        <f t="shared" si="2"/>
        <v>2243292-4</v>
      </c>
      <c r="B38" s="25">
        <v>224329</v>
      </c>
      <c r="C38" s="34" t="s">
        <v>68</v>
      </c>
      <c r="D38" s="89" t="s">
        <v>26</v>
      </c>
      <c r="E38" s="28">
        <v>3321.6</v>
      </c>
      <c r="F38" s="29">
        <f t="shared" si="3"/>
        <v>4019.136</v>
      </c>
      <c r="G38" s="30">
        <f>$E38/spotřeba!$C$5</f>
        <v>1509.8181818181818</v>
      </c>
      <c r="H38" s="31">
        <f>$F38/spotřeba!$C$5</f>
        <v>1826.8799999999999</v>
      </c>
      <c r="I38" s="32">
        <f>$E38/spotřeba!$C$6</f>
        <v>1845.3333333333333</v>
      </c>
      <c r="J38" s="33">
        <f>$F38/spotřeba!$C$6</f>
        <v>2232.8533333333335</v>
      </c>
      <c r="K38" s="30">
        <f>$E38/spotřeba!$C$7</f>
        <v>2214.4</v>
      </c>
      <c r="L38" s="33">
        <f>$F38/spotřeba!$C$7</f>
        <v>2679.424</v>
      </c>
    </row>
    <row r="39" spans="1:12" ht="15" customHeight="1" x14ac:dyDescent="0.25">
      <c r="A39" s="1" t="str">
        <f t="shared" si="2"/>
        <v>2242142-4</v>
      </c>
      <c r="B39" s="25">
        <v>224214</v>
      </c>
      <c r="C39" s="34" t="s">
        <v>43</v>
      </c>
      <c r="D39" s="89" t="s">
        <v>26</v>
      </c>
      <c r="E39" s="28">
        <v>3297.6</v>
      </c>
      <c r="F39" s="29">
        <f t="shared" si="3"/>
        <v>3990.0959999999995</v>
      </c>
      <c r="G39" s="30">
        <f>$E39/spotřeba!$C$5</f>
        <v>1498.9090909090908</v>
      </c>
      <c r="H39" s="31">
        <f>$F39/spotřeba!$C$5</f>
        <v>1813.6799999999996</v>
      </c>
      <c r="I39" s="32">
        <f>$E39/spotřeba!$C$6</f>
        <v>1832</v>
      </c>
      <c r="J39" s="33">
        <f>$F39/spotřeba!$C$6</f>
        <v>2216.7199999999998</v>
      </c>
      <c r="K39" s="30">
        <f>$E39/spotřeba!$C$7</f>
        <v>2198.4</v>
      </c>
      <c r="L39" s="33">
        <f>$F39/spotřeba!$C$7</f>
        <v>2660.0639999999999</v>
      </c>
    </row>
    <row r="40" spans="1:12" ht="15" customHeight="1" x14ac:dyDescent="0.25">
      <c r="A40" s="1" t="str">
        <f t="shared" si="2"/>
        <v>2243512-4</v>
      </c>
      <c r="B40" s="25">
        <v>224351</v>
      </c>
      <c r="C40" s="34" t="s">
        <v>85</v>
      </c>
      <c r="D40" s="89" t="s">
        <v>26</v>
      </c>
      <c r="E40" s="28">
        <v>3321.6</v>
      </c>
      <c r="F40" s="29">
        <f t="shared" si="3"/>
        <v>4019.136</v>
      </c>
      <c r="G40" s="30">
        <f>$E40/spotřeba!$C$5</f>
        <v>1509.8181818181818</v>
      </c>
      <c r="H40" s="31">
        <f>$F40/spotřeba!$C$5</f>
        <v>1826.8799999999999</v>
      </c>
      <c r="I40" s="32">
        <f>$E40/spotřeba!$C$6</f>
        <v>1845.3333333333333</v>
      </c>
      <c r="J40" s="33">
        <f>$F40/spotřeba!$C$6</f>
        <v>2232.8533333333335</v>
      </c>
      <c r="K40" s="30">
        <f>$E40/spotřeba!$C$7</f>
        <v>2214.4</v>
      </c>
      <c r="L40" s="33">
        <f>$F40/spotřeba!$C$7</f>
        <v>2679.424</v>
      </c>
    </row>
    <row r="41" spans="1:12" ht="15" customHeight="1" x14ac:dyDescent="0.25">
      <c r="A41" s="1" t="str">
        <f t="shared" si="2"/>
        <v>2243372-4</v>
      </c>
      <c r="B41" s="25">
        <v>224337</v>
      </c>
      <c r="C41" s="34" t="s">
        <v>75</v>
      </c>
      <c r="D41" s="89" t="s">
        <v>26</v>
      </c>
      <c r="E41" s="28">
        <v>3321.6</v>
      </c>
      <c r="F41" s="29">
        <f t="shared" si="3"/>
        <v>4019.136</v>
      </c>
      <c r="G41" s="30">
        <f>$E41/spotřeba!$C$5</f>
        <v>1509.8181818181818</v>
      </c>
      <c r="H41" s="31">
        <f>$F41/spotřeba!$C$5</f>
        <v>1826.8799999999999</v>
      </c>
      <c r="I41" s="32">
        <f>$E41/spotřeba!$C$6</f>
        <v>1845.3333333333333</v>
      </c>
      <c r="J41" s="33">
        <f>$F41/spotřeba!$C$6</f>
        <v>2232.8533333333335</v>
      </c>
      <c r="K41" s="30">
        <f>$E41/spotřeba!$C$7</f>
        <v>2214.4</v>
      </c>
      <c r="L41" s="33">
        <f>$F41/spotřeba!$C$7</f>
        <v>2679.424</v>
      </c>
    </row>
    <row r="42" spans="1:12" ht="15.75" customHeight="1" x14ac:dyDescent="0.25">
      <c r="A42" s="1" t="str">
        <f t="shared" si="2"/>
        <v>2243532-4</v>
      </c>
      <c r="B42" s="25">
        <v>224353</v>
      </c>
      <c r="C42" s="34" t="s">
        <v>87</v>
      </c>
      <c r="D42" s="89" t="s">
        <v>26</v>
      </c>
      <c r="E42" s="28">
        <v>3321.6</v>
      </c>
      <c r="F42" s="29">
        <f t="shared" si="3"/>
        <v>4019.136</v>
      </c>
      <c r="G42" s="30">
        <f>$E42/spotřeba!$C$5</f>
        <v>1509.8181818181818</v>
      </c>
      <c r="H42" s="31">
        <f>$F42/spotřeba!$C$5</f>
        <v>1826.8799999999999</v>
      </c>
      <c r="I42" s="32">
        <f>$E42/spotřeba!$C$6</f>
        <v>1845.3333333333333</v>
      </c>
      <c r="J42" s="33">
        <f>$F42/spotřeba!$C$6</f>
        <v>2232.8533333333335</v>
      </c>
      <c r="K42" s="30">
        <f>$E42/spotřeba!$C$7</f>
        <v>2214.4</v>
      </c>
      <c r="L42" s="33">
        <f>$F42/spotřeba!$C$7</f>
        <v>2679.424</v>
      </c>
    </row>
    <row r="43" spans="1:12" ht="15.75" customHeight="1" x14ac:dyDescent="0.25">
      <c r="A43" s="1" t="str">
        <f t="shared" si="2"/>
        <v>2242052-4</v>
      </c>
      <c r="B43" s="25">
        <v>224205</v>
      </c>
      <c r="C43" s="34" t="s">
        <v>36</v>
      </c>
      <c r="D43" s="89" t="s">
        <v>26</v>
      </c>
      <c r="E43" s="28">
        <v>3249.6</v>
      </c>
      <c r="F43" s="29">
        <f t="shared" si="3"/>
        <v>3932.0159999999996</v>
      </c>
      <c r="G43" s="30">
        <f>$E43/spotřeba!$C$5</f>
        <v>1477.090909090909</v>
      </c>
      <c r="H43" s="31">
        <f>$F43/spotřeba!$C$5</f>
        <v>1787.2799999999997</v>
      </c>
      <c r="I43" s="32">
        <f>$E43/spotřeba!$C$6</f>
        <v>1805.3333333333333</v>
      </c>
      <c r="J43" s="33">
        <f>$F43/spotřeba!$C$6</f>
        <v>2184.4533333333329</v>
      </c>
      <c r="K43" s="30">
        <f>$E43/spotřeba!$C$7</f>
        <v>2166.4</v>
      </c>
      <c r="L43" s="33">
        <f>$F43/spotřeba!$C$7</f>
        <v>2621.3439999999996</v>
      </c>
    </row>
    <row r="44" spans="1:12" ht="15.75" customHeight="1" x14ac:dyDescent="0.25">
      <c r="A44" s="1" t="str">
        <f t="shared" si="2"/>
        <v>2243162-4</v>
      </c>
      <c r="B44" s="25">
        <v>224316</v>
      </c>
      <c r="C44" s="34" t="s">
        <v>60</v>
      </c>
      <c r="D44" s="89" t="s">
        <v>26</v>
      </c>
      <c r="E44" s="28">
        <v>3321.6</v>
      </c>
      <c r="F44" s="29">
        <f t="shared" si="3"/>
        <v>4019.136</v>
      </c>
      <c r="G44" s="30">
        <f>$E44/spotřeba!$C$5</f>
        <v>1509.8181818181818</v>
      </c>
      <c r="H44" s="31">
        <f>$F44/spotřeba!$C$5</f>
        <v>1826.8799999999999</v>
      </c>
      <c r="I44" s="32">
        <f>$E44/spotřeba!$C$6</f>
        <v>1845.3333333333333</v>
      </c>
      <c r="J44" s="33">
        <f>$F44/spotřeba!$C$6</f>
        <v>2232.8533333333335</v>
      </c>
      <c r="K44" s="30">
        <f>$E44/spotřeba!$C$7</f>
        <v>2214.4</v>
      </c>
      <c r="L44" s="33">
        <f>$F44/spotřeba!$C$7</f>
        <v>2679.424</v>
      </c>
    </row>
    <row r="45" spans="1:12" ht="15.75" customHeight="1" x14ac:dyDescent="0.25">
      <c r="A45" s="1" t="str">
        <f t="shared" si="2"/>
        <v>2243272-4</v>
      </c>
      <c r="B45" s="25">
        <v>224327</v>
      </c>
      <c r="C45" s="34" t="s">
        <v>66</v>
      </c>
      <c r="D45" s="89" t="s">
        <v>26</v>
      </c>
      <c r="E45" s="28">
        <v>3321.6</v>
      </c>
      <c r="F45" s="29">
        <f t="shared" si="3"/>
        <v>4019.136</v>
      </c>
      <c r="G45" s="30">
        <f>$E45/spotřeba!$C$5</f>
        <v>1509.8181818181818</v>
      </c>
      <c r="H45" s="31">
        <f>$F45/spotřeba!$C$5</f>
        <v>1826.8799999999999</v>
      </c>
      <c r="I45" s="32">
        <f>$E45/spotřeba!$C$6</f>
        <v>1845.3333333333333</v>
      </c>
      <c r="J45" s="33">
        <f>$F45/spotřeba!$C$6</f>
        <v>2232.8533333333335</v>
      </c>
      <c r="K45" s="30">
        <f>$E45/spotřeba!$C$7</f>
        <v>2214.4</v>
      </c>
      <c r="L45" s="33">
        <f>$F45/spotřeba!$C$7</f>
        <v>2679.424</v>
      </c>
    </row>
    <row r="46" spans="1:12" ht="15.75" customHeight="1" x14ac:dyDescent="0.25">
      <c r="A46" s="1" t="str">
        <f t="shared" si="2"/>
        <v>2243582-4</v>
      </c>
      <c r="B46" s="25">
        <v>224358</v>
      </c>
      <c r="C46" s="34" t="s">
        <v>91</v>
      </c>
      <c r="D46" s="89" t="s">
        <v>26</v>
      </c>
      <c r="E46" s="28">
        <v>3321.6</v>
      </c>
      <c r="F46" s="29">
        <f t="shared" si="3"/>
        <v>4019.136</v>
      </c>
      <c r="G46" s="30">
        <f>$E46/spotřeba!$C$5</f>
        <v>1509.8181818181818</v>
      </c>
      <c r="H46" s="31">
        <f>$F46/spotřeba!$C$5</f>
        <v>1826.8799999999999</v>
      </c>
      <c r="I46" s="32">
        <f>$E46/spotřeba!$C$6</f>
        <v>1845.3333333333333</v>
      </c>
      <c r="J46" s="33">
        <f>$F46/spotřeba!$C$6</f>
        <v>2232.8533333333335</v>
      </c>
      <c r="K46" s="30">
        <f>$E46/spotřeba!$C$7</f>
        <v>2214.4</v>
      </c>
      <c r="L46" s="33">
        <f>$F46/spotřeba!$C$7</f>
        <v>2679.424</v>
      </c>
    </row>
    <row r="47" spans="1:12" ht="15.75" customHeight="1" x14ac:dyDescent="0.25">
      <c r="A47" s="1" t="str">
        <f t="shared" si="2"/>
        <v>2242112-4</v>
      </c>
      <c r="B47" s="25">
        <v>224211</v>
      </c>
      <c r="C47" s="34" t="s">
        <v>41</v>
      </c>
      <c r="D47" s="89" t="s">
        <v>26</v>
      </c>
      <c r="E47" s="28">
        <v>3261.6</v>
      </c>
      <c r="F47" s="29">
        <f t="shared" si="3"/>
        <v>3946.5359999999996</v>
      </c>
      <c r="G47" s="30">
        <f>$E47/spotřeba!$C$5</f>
        <v>1482.5454545454543</v>
      </c>
      <c r="H47" s="31">
        <f>$F47/spotřeba!$C$5</f>
        <v>1793.8799999999997</v>
      </c>
      <c r="I47" s="32">
        <f>$E47/spotřeba!$C$6</f>
        <v>1812</v>
      </c>
      <c r="J47" s="33">
        <f>$F47/spotřeba!$C$6</f>
        <v>2192.5199999999995</v>
      </c>
      <c r="K47" s="30">
        <f>$E47/spotřeba!$C$7</f>
        <v>2174.4</v>
      </c>
      <c r="L47" s="33">
        <f>$F47/spotřeba!$C$7</f>
        <v>2631.0239999999999</v>
      </c>
    </row>
    <row r="48" spans="1:12" ht="15.75" customHeight="1" x14ac:dyDescent="0.25">
      <c r="A48" s="1" t="str">
        <f t="shared" si="2"/>
        <v>2243342-4</v>
      </c>
      <c r="B48" s="25">
        <v>224334</v>
      </c>
      <c r="C48" s="34" t="s">
        <v>73</v>
      </c>
      <c r="D48" s="89" t="s">
        <v>26</v>
      </c>
      <c r="E48" s="28">
        <v>3321.6</v>
      </c>
      <c r="F48" s="29">
        <f t="shared" si="3"/>
        <v>4019.136</v>
      </c>
      <c r="G48" s="30">
        <f>$E48/spotřeba!$C$5</f>
        <v>1509.8181818181818</v>
      </c>
      <c r="H48" s="31">
        <f>$F48/spotřeba!$C$5</f>
        <v>1826.8799999999999</v>
      </c>
      <c r="I48" s="32">
        <f>$E48/spotřeba!$C$6</f>
        <v>1845.3333333333333</v>
      </c>
      <c r="J48" s="33">
        <f>$F48/spotřeba!$C$6</f>
        <v>2232.8533333333335</v>
      </c>
      <c r="K48" s="30">
        <f>$E48/spotřeba!$C$7</f>
        <v>2214.4</v>
      </c>
      <c r="L48" s="33">
        <f>$F48/spotřeba!$C$7</f>
        <v>2679.424</v>
      </c>
    </row>
    <row r="49" spans="1:12" ht="15.75" customHeight="1" x14ac:dyDescent="0.25">
      <c r="A49" s="1" t="str">
        <f t="shared" si="2"/>
        <v>2242062-4</v>
      </c>
      <c r="B49" s="25">
        <v>224206</v>
      </c>
      <c r="C49" s="34" t="s">
        <v>37</v>
      </c>
      <c r="D49" s="89" t="s">
        <v>26</v>
      </c>
      <c r="E49" s="28">
        <v>3237.6</v>
      </c>
      <c r="F49" s="29">
        <f t="shared" si="3"/>
        <v>3917.4959999999996</v>
      </c>
      <c r="G49" s="30">
        <f>$E49/spotřeba!$C$5</f>
        <v>1471.6363636363635</v>
      </c>
      <c r="H49" s="31">
        <f>$F49/spotřeba!$C$5</f>
        <v>1780.6799999999996</v>
      </c>
      <c r="I49" s="32">
        <f>$E49/spotřeba!$C$6</f>
        <v>1798.6666666666665</v>
      </c>
      <c r="J49" s="33">
        <f>$F49/spotřeba!$C$6</f>
        <v>2176.3866666666663</v>
      </c>
      <c r="K49" s="30">
        <f>$E49/spotřeba!$C$7</f>
        <v>2158.4</v>
      </c>
      <c r="L49" s="33">
        <f>$F49/spotřeba!$C$7</f>
        <v>2611.6639999999998</v>
      </c>
    </row>
    <row r="50" spans="1:12" ht="15.75" customHeight="1" x14ac:dyDescent="0.25">
      <c r="A50" s="1" t="str">
        <f t="shared" si="2"/>
        <v>2242032-4</v>
      </c>
      <c r="B50" s="25">
        <v>224203</v>
      </c>
      <c r="C50" s="34" t="s">
        <v>34</v>
      </c>
      <c r="D50" s="89" t="s">
        <v>26</v>
      </c>
      <c r="E50" s="28">
        <v>3243.6</v>
      </c>
      <c r="F50" s="29">
        <f t="shared" si="3"/>
        <v>3924.7559999999999</v>
      </c>
      <c r="G50" s="30">
        <f>$E50/spotřeba!$C$5</f>
        <v>1474.3636363636363</v>
      </c>
      <c r="H50" s="31">
        <f>$F50/spotřeba!$C$5</f>
        <v>1783.9799999999998</v>
      </c>
      <c r="I50" s="32">
        <f>$E50/spotřeba!$C$6</f>
        <v>1802</v>
      </c>
      <c r="J50" s="33">
        <f>$F50/spotřeba!$C$6</f>
        <v>2180.42</v>
      </c>
      <c r="K50" s="30">
        <f>$E50/spotřeba!$C$7</f>
        <v>2162.4</v>
      </c>
      <c r="L50" s="33">
        <f>$F50/spotřeba!$C$7</f>
        <v>2616.5039999999999</v>
      </c>
    </row>
    <row r="51" spans="1:12" ht="15.75" customHeight="1" x14ac:dyDescent="0.25">
      <c r="A51" s="1" t="str">
        <f t="shared" si="2"/>
        <v>2243602-4</v>
      </c>
      <c r="B51" s="25">
        <v>224360</v>
      </c>
      <c r="C51" s="34" t="s">
        <v>93</v>
      </c>
      <c r="D51" s="89" t="s">
        <v>26</v>
      </c>
      <c r="E51" s="28">
        <v>3321.6</v>
      </c>
      <c r="F51" s="29">
        <f t="shared" si="3"/>
        <v>4019.136</v>
      </c>
      <c r="G51" s="30">
        <f>$E51/spotřeba!$C$5</f>
        <v>1509.8181818181818</v>
      </c>
      <c r="H51" s="31">
        <f>$F51/spotřeba!$C$5</f>
        <v>1826.8799999999999</v>
      </c>
      <c r="I51" s="32">
        <f>$E51/spotřeba!$C$6</f>
        <v>1845.3333333333333</v>
      </c>
      <c r="J51" s="33">
        <f>$F51/spotřeba!$C$6</f>
        <v>2232.8533333333335</v>
      </c>
      <c r="K51" s="30">
        <f>$E51/spotřeba!$C$7</f>
        <v>2214.4</v>
      </c>
      <c r="L51" s="33">
        <f>$F51/spotřeba!$C$7</f>
        <v>2679.424</v>
      </c>
    </row>
    <row r="52" spans="1:12" ht="15.75" customHeight="1" x14ac:dyDescent="0.25">
      <c r="A52" s="1" t="str">
        <f t="shared" si="2"/>
        <v>2243572-4</v>
      </c>
      <c r="B52" s="25">
        <v>224357</v>
      </c>
      <c r="C52" s="34" t="s">
        <v>90</v>
      </c>
      <c r="D52" s="89" t="s">
        <v>26</v>
      </c>
      <c r="E52" s="28">
        <v>3321.6</v>
      </c>
      <c r="F52" s="29">
        <f t="shared" si="3"/>
        <v>4019.136</v>
      </c>
      <c r="G52" s="30">
        <f>$E52/spotřeba!$C$5</f>
        <v>1509.8181818181818</v>
      </c>
      <c r="H52" s="31">
        <f>$F52/spotřeba!$C$5</f>
        <v>1826.8799999999999</v>
      </c>
      <c r="I52" s="32">
        <f>$E52/spotřeba!$C$6</f>
        <v>1845.3333333333333</v>
      </c>
      <c r="J52" s="33">
        <f>$F52/spotřeba!$C$6</f>
        <v>2232.8533333333335</v>
      </c>
      <c r="K52" s="30">
        <f>$E52/spotřeba!$C$7</f>
        <v>2214.4</v>
      </c>
      <c r="L52" s="33">
        <f>$F52/spotřeba!$C$7</f>
        <v>2679.424</v>
      </c>
    </row>
    <row r="53" spans="1:12" x14ac:dyDescent="0.25">
      <c r="A53" s="1" t="str">
        <f t="shared" ref="A53:A69" si="4">B53&amp;D53</f>
        <v>2243362-4</v>
      </c>
      <c r="B53" s="25">
        <v>224336</v>
      </c>
      <c r="C53" s="34" t="s">
        <v>74</v>
      </c>
      <c r="D53" s="89" t="s">
        <v>26</v>
      </c>
      <c r="E53" s="28">
        <v>3321.6</v>
      </c>
      <c r="F53" s="29">
        <f t="shared" si="3"/>
        <v>4019.136</v>
      </c>
      <c r="G53" s="30">
        <f>$E53/spotřeba!$C$5</f>
        <v>1509.8181818181818</v>
      </c>
      <c r="H53" s="31">
        <f>$F53/spotřeba!$C$5</f>
        <v>1826.8799999999999</v>
      </c>
      <c r="I53" s="32">
        <f>$E53/spotřeba!$C$6</f>
        <v>1845.3333333333333</v>
      </c>
      <c r="J53" s="33">
        <f>$F53/spotřeba!$C$6</f>
        <v>2232.8533333333335</v>
      </c>
      <c r="K53" s="30">
        <f>$E53/spotřeba!$C$7</f>
        <v>2214.4</v>
      </c>
      <c r="L53" s="33">
        <f>$F53/spotřeba!$C$7</f>
        <v>2679.424</v>
      </c>
    </row>
    <row r="54" spans="1:12" x14ac:dyDescent="0.25">
      <c r="A54" s="1" t="str">
        <f t="shared" si="4"/>
        <v>2243612-4</v>
      </c>
      <c r="B54" s="25">
        <v>224361</v>
      </c>
      <c r="C54" s="34" t="s">
        <v>94</v>
      </c>
      <c r="D54" s="89" t="s">
        <v>26</v>
      </c>
      <c r="E54" s="28">
        <v>3321.6</v>
      </c>
      <c r="F54" s="29">
        <f t="shared" si="3"/>
        <v>4019.136</v>
      </c>
      <c r="G54" s="30">
        <f>$E54/spotřeba!$C$5</f>
        <v>1509.8181818181818</v>
      </c>
      <c r="H54" s="31">
        <f>$F54/spotřeba!$C$5</f>
        <v>1826.8799999999999</v>
      </c>
      <c r="I54" s="32">
        <f>$E54/spotřeba!$C$6</f>
        <v>1845.3333333333333</v>
      </c>
      <c r="J54" s="33">
        <f>$F54/spotřeba!$C$6</f>
        <v>2232.8533333333335</v>
      </c>
      <c r="K54" s="30">
        <f>$E54/spotřeba!$C$7</f>
        <v>2214.4</v>
      </c>
      <c r="L54" s="33">
        <f>$F54/spotřeba!$C$7</f>
        <v>2679.424</v>
      </c>
    </row>
    <row r="55" spans="1:12" x14ac:dyDescent="0.25">
      <c r="A55" s="1" t="str">
        <f t="shared" si="4"/>
        <v>2243482-4</v>
      </c>
      <c r="B55" s="35">
        <v>224348</v>
      </c>
      <c r="C55" s="34" t="s">
        <v>82</v>
      </c>
      <c r="D55" s="89" t="s">
        <v>26</v>
      </c>
      <c r="E55" s="28">
        <v>3321.6</v>
      </c>
      <c r="F55" s="29">
        <f t="shared" si="3"/>
        <v>4019.136</v>
      </c>
      <c r="G55" s="30">
        <f>$E55/spotřeba!$C$5</f>
        <v>1509.8181818181818</v>
      </c>
      <c r="H55" s="31">
        <f>$F55/spotřeba!$C$5</f>
        <v>1826.8799999999999</v>
      </c>
      <c r="I55" s="32">
        <f>$E55/spotřeba!$C$6</f>
        <v>1845.3333333333333</v>
      </c>
      <c r="J55" s="33">
        <f>$F55/spotřeba!$C$6</f>
        <v>2232.8533333333335</v>
      </c>
      <c r="K55" s="30">
        <f>$E55/spotřeba!$C$7</f>
        <v>2214.4</v>
      </c>
      <c r="L55" s="33">
        <f>$F55/spotřeba!$C$7</f>
        <v>2679.424</v>
      </c>
    </row>
    <row r="56" spans="1:12" x14ac:dyDescent="0.25">
      <c r="A56" s="1" t="str">
        <f t="shared" si="4"/>
        <v>2243492-4</v>
      </c>
      <c r="B56" s="25">
        <v>224349</v>
      </c>
      <c r="C56" s="34" t="s">
        <v>83</v>
      </c>
      <c r="D56" s="89" t="s">
        <v>26</v>
      </c>
      <c r="E56" s="28">
        <v>3321.6</v>
      </c>
      <c r="F56" s="29">
        <f t="shared" si="3"/>
        <v>4019.136</v>
      </c>
      <c r="G56" s="30">
        <f>$E56/spotřeba!$C$5</f>
        <v>1509.8181818181818</v>
      </c>
      <c r="H56" s="31">
        <f>$F56/spotřeba!$C$5</f>
        <v>1826.8799999999999</v>
      </c>
      <c r="I56" s="32">
        <f>$E56/spotřeba!$C$6</f>
        <v>1845.3333333333333</v>
      </c>
      <c r="J56" s="33">
        <f>$F56/spotřeba!$C$6</f>
        <v>2232.8533333333335</v>
      </c>
      <c r="K56" s="30">
        <f>$E56/spotřeba!$C$7</f>
        <v>2214.4</v>
      </c>
      <c r="L56" s="33">
        <f>$F56/spotřeba!$C$7</f>
        <v>2679.424</v>
      </c>
    </row>
    <row r="57" spans="1:12" x14ac:dyDescent="0.25">
      <c r="A57" s="1" t="str">
        <f t="shared" si="4"/>
        <v>2242092-4</v>
      </c>
      <c r="B57" s="25">
        <v>224209</v>
      </c>
      <c r="C57" s="34" t="s">
        <v>39</v>
      </c>
      <c r="D57" s="89" t="s">
        <v>26</v>
      </c>
      <c r="E57" s="28">
        <v>3297.6</v>
      </c>
      <c r="F57" s="29">
        <f t="shared" si="3"/>
        <v>3990.0959999999995</v>
      </c>
      <c r="G57" s="30">
        <f>$E57/spotřeba!$C$5</f>
        <v>1498.9090909090908</v>
      </c>
      <c r="H57" s="31">
        <f>$F57/spotřeba!$C$5</f>
        <v>1813.6799999999996</v>
      </c>
      <c r="I57" s="32">
        <f>$E57/spotřeba!$C$6</f>
        <v>1832</v>
      </c>
      <c r="J57" s="33">
        <f>$F57/spotřeba!$C$6</f>
        <v>2216.7199999999998</v>
      </c>
      <c r="K57" s="30">
        <f>$E57/spotřeba!$C$7</f>
        <v>2198.4</v>
      </c>
      <c r="L57" s="33">
        <f>$F57/spotřeba!$C$7</f>
        <v>2660.0639999999999</v>
      </c>
    </row>
    <row r="58" spans="1:12" x14ac:dyDescent="0.25">
      <c r="A58" s="1" t="str">
        <f t="shared" si="4"/>
        <v>2242182-4</v>
      </c>
      <c r="B58" s="35">
        <v>224218</v>
      </c>
      <c r="C58" s="34" t="s">
        <v>45</v>
      </c>
      <c r="D58" s="89" t="s">
        <v>26</v>
      </c>
      <c r="E58" s="28">
        <v>3255.6</v>
      </c>
      <c r="F58" s="29">
        <f t="shared" si="3"/>
        <v>3939.2759999999998</v>
      </c>
      <c r="G58" s="30">
        <f>$E58/spotřeba!$C$5</f>
        <v>1479.8181818181818</v>
      </c>
      <c r="H58" s="31">
        <f>$F58/spotřeba!$C$5</f>
        <v>1790.5799999999997</v>
      </c>
      <c r="I58" s="32">
        <f>$E58/spotřeba!$C$6</f>
        <v>1808.6666666666665</v>
      </c>
      <c r="J58" s="33">
        <f>$F58/spotřeba!$C$6</f>
        <v>2188.4866666666667</v>
      </c>
      <c r="K58" s="30">
        <f>$E58/spotřeba!$C$7</f>
        <v>2170.4</v>
      </c>
      <c r="L58" s="33">
        <f>$F58/spotřeba!$C$7</f>
        <v>2626.1839999999997</v>
      </c>
    </row>
    <row r="59" spans="1:12" x14ac:dyDescent="0.25">
      <c r="A59" s="1" t="str">
        <f t="shared" si="4"/>
        <v>2243072-4</v>
      </c>
      <c r="B59" s="25">
        <v>224307</v>
      </c>
      <c r="C59" s="34" t="s">
        <v>52</v>
      </c>
      <c r="D59" s="89" t="s">
        <v>26</v>
      </c>
      <c r="E59" s="28">
        <v>3321.6</v>
      </c>
      <c r="F59" s="29">
        <f t="shared" si="3"/>
        <v>4019.136</v>
      </c>
      <c r="G59" s="30">
        <f>$E59/spotřeba!$C$5</f>
        <v>1509.8181818181818</v>
      </c>
      <c r="H59" s="31">
        <f>$F59/spotřeba!$C$5</f>
        <v>1826.8799999999999</v>
      </c>
      <c r="I59" s="32">
        <f>$E59/spotřeba!$C$6</f>
        <v>1845.3333333333333</v>
      </c>
      <c r="J59" s="33">
        <f>$F59/spotřeba!$C$6</f>
        <v>2232.8533333333335</v>
      </c>
      <c r="K59" s="30">
        <f>$E59/spotřeba!$C$7</f>
        <v>2214.4</v>
      </c>
      <c r="L59" s="33">
        <f>$F59/spotřeba!$C$7</f>
        <v>2679.424</v>
      </c>
    </row>
    <row r="60" spans="1:12" x14ac:dyDescent="0.25">
      <c r="A60" s="1" t="str">
        <f t="shared" si="4"/>
        <v>2242202-4</v>
      </c>
      <c r="B60" s="35">
        <v>224220</v>
      </c>
      <c r="C60" s="34" t="s">
        <v>46</v>
      </c>
      <c r="D60" s="89" t="s">
        <v>26</v>
      </c>
      <c r="E60" s="28">
        <v>3357.6</v>
      </c>
      <c r="F60" s="29">
        <f t="shared" si="3"/>
        <v>4062.6959999999999</v>
      </c>
      <c r="G60" s="30">
        <f>$E60/spotřeba!$C$5</f>
        <v>1526.181818181818</v>
      </c>
      <c r="H60" s="31">
        <f>$F60/spotřeba!$C$5</f>
        <v>1846.6799999999998</v>
      </c>
      <c r="I60" s="32">
        <f>$E60/spotřeba!$C$6</f>
        <v>1865.3333333333333</v>
      </c>
      <c r="J60" s="33">
        <f>$F60/spotřeba!$C$6</f>
        <v>2257.0533333333333</v>
      </c>
      <c r="K60" s="30">
        <f>$E60/spotřeba!$C$7</f>
        <v>2238.4</v>
      </c>
      <c r="L60" s="33">
        <f>$F60/spotřeba!$C$7</f>
        <v>2708.4639999999999</v>
      </c>
    </row>
    <row r="61" spans="1:12" s="40" customFormat="1" x14ac:dyDescent="0.25">
      <c r="A61" s="1" t="str">
        <f t="shared" si="4"/>
        <v>2243092-4</v>
      </c>
      <c r="B61" s="25">
        <v>224309</v>
      </c>
      <c r="C61" s="34" t="s">
        <v>54</v>
      </c>
      <c r="D61" s="89" t="s">
        <v>26</v>
      </c>
      <c r="E61" s="28">
        <v>3321.6</v>
      </c>
      <c r="F61" s="29">
        <f t="shared" si="3"/>
        <v>4019.136</v>
      </c>
      <c r="G61" s="30">
        <f>$E61/spotřeba!$C$5</f>
        <v>1509.8181818181818</v>
      </c>
      <c r="H61" s="31">
        <f>$F61/spotřeba!$C$5</f>
        <v>1826.8799999999999</v>
      </c>
      <c r="I61" s="32">
        <f>$E61/spotřeba!$C$6</f>
        <v>1845.3333333333333</v>
      </c>
      <c r="J61" s="33">
        <f>$F61/spotřeba!$C$6</f>
        <v>2232.8533333333335</v>
      </c>
      <c r="K61" s="30">
        <f>$E61/spotřeba!$C$7</f>
        <v>2214.4</v>
      </c>
      <c r="L61" s="33">
        <f>$F61/spotřeba!$C$7</f>
        <v>2679.424</v>
      </c>
    </row>
    <row r="62" spans="1:12" s="40" customFormat="1" x14ac:dyDescent="0.25">
      <c r="A62" s="1" t="str">
        <f t="shared" si="4"/>
        <v>2243152-4</v>
      </c>
      <c r="B62" s="25">
        <v>224315</v>
      </c>
      <c r="C62" s="34" t="s">
        <v>59</v>
      </c>
      <c r="D62" s="27" t="s">
        <v>26</v>
      </c>
      <c r="E62" s="28">
        <v>3321.6</v>
      </c>
      <c r="F62" s="29">
        <f t="shared" si="3"/>
        <v>4019.136</v>
      </c>
      <c r="G62" s="32">
        <f>$E62/spotřeba!$C$5</f>
        <v>1509.8181818181818</v>
      </c>
      <c r="H62" s="207">
        <f>$F62/spotřeba!$C$5</f>
        <v>1826.8799999999999</v>
      </c>
      <c r="I62" s="32">
        <f>$E62/spotřeba!$C$6</f>
        <v>1845.3333333333333</v>
      </c>
      <c r="J62" s="33">
        <f>$F62/spotřeba!$C$6</f>
        <v>2232.8533333333335</v>
      </c>
      <c r="K62" s="32">
        <f>$E62/spotřeba!$C$7</f>
        <v>2214.4</v>
      </c>
      <c r="L62" s="33">
        <f>$F62/spotřeba!$C$7</f>
        <v>2679.424</v>
      </c>
    </row>
    <row r="63" spans="1:12" s="40" customFormat="1" x14ac:dyDescent="0.25">
      <c r="A63" s="1" t="str">
        <f t="shared" si="4"/>
        <v>2243112-4</v>
      </c>
      <c r="B63" s="25">
        <v>224311</v>
      </c>
      <c r="C63" s="34" t="s">
        <v>56</v>
      </c>
      <c r="D63" s="27" t="s">
        <v>26</v>
      </c>
      <c r="E63" s="28">
        <v>3321.6</v>
      </c>
      <c r="F63" s="29">
        <f t="shared" si="3"/>
        <v>4019.136</v>
      </c>
      <c r="G63" s="32">
        <f>$E63/spotřeba!$C$5</f>
        <v>1509.8181818181818</v>
      </c>
      <c r="H63" s="207">
        <f>$F63/spotřeba!$C$5</f>
        <v>1826.8799999999999</v>
      </c>
      <c r="I63" s="32">
        <f>$E63/spotřeba!$C$6</f>
        <v>1845.3333333333333</v>
      </c>
      <c r="J63" s="33">
        <f>$F63/spotřeba!$C$6</f>
        <v>2232.8533333333335</v>
      </c>
      <c r="K63" s="32">
        <f>$E63/spotřeba!$C$7</f>
        <v>2214.4</v>
      </c>
      <c r="L63" s="33">
        <f>$F63/spotřeba!$C$7</f>
        <v>2679.424</v>
      </c>
    </row>
    <row r="64" spans="1:12" s="40" customFormat="1" x14ac:dyDescent="0.25">
      <c r="A64" s="1" t="str">
        <f t="shared" si="4"/>
        <v>2242022-4</v>
      </c>
      <c r="B64" s="25">
        <v>224202</v>
      </c>
      <c r="C64" s="34" t="s">
        <v>33</v>
      </c>
      <c r="D64" s="27" t="s">
        <v>26</v>
      </c>
      <c r="E64" s="28">
        <v>3243.6</v>
      </c>
      <c r="F64" s="29">
        <f t="shared" si="3"/>
        <v>3924.7559999999999</v>
      </c>
      <c r="G64" s="32">
        <f>$E64/spotřeba!$C$5</f>
        <v>1474.3636363636363</v>
      </c>
      <c r="H64" s="207">
        <f>$F64/spotřeba!$C$5</f>
        <v>1783.9799999999998</v>
      </c>
      <c r="I64" s="32">
        <f>$E64/spotřeba!$C$6</f>
        <v>1802</v>
      </c>
      <c r="J64" s="33">
        <f>$F64/spotřeba!$C$6</f>
        <v>2180.42</v>
      </c>
      <c r="K64" s="32">
        <f>$E64/spotřeba!$C$7</f>
        <v>2162.4</v>
      </c>
      <c r="L64" s="33">
        <f>$F64/spotřeba!$C$7</f>
        <v>2616.5039999999999</v>
      </c>
    </row>
    <row r="65" spans="1:12" s="40" customFormat="1" x14ac:dyDescent="0.25">
      <c r="A65" s="1" t="str">
        <f t="shared" si="4"/>
        <v>2242122-4</v>
      </c>
      <c r="B65" s="25">
        <v>224212</v>
      </c>
      <c r="C65" s="34" t="s">
        <v>42</v>
      </c>
      <c r="D65" s="27" t="s">
        <v>26</v>
      </c>
      <c r="E65" s="28">
        <v>3273.6</v>
      </c>
      <c r="F65" s="29">
        <f t="shared" si="3"/>
        <v>3961.0559999999996</v>
      </c>
      <c r="G65" s="32">
        <f>$E65/spotřeba!$C$5</f>
        <v>1487.9999999999998</v>
      </c>
      <c r="H65" s="207">
        <f>$F65/spotřeba!$C$5</f>
        <v>1800.4799999999996</v>
      </c>
      <c r="I65" s="32">
        <f>$E65/spotřeba!$C$6</f>
        <v>1818.6666666666665</v>
      </c>
      <c r="J65" s="33">
        <f>$F65/spotřeba!$C$6</f>
        <v>2200.5866666666666</v>
      </c>
      <c r="K65" s="32">
        <f>$E65/spotřeba!$C$7</f>
        <v>2182.4</v>
      </c>
      <c r="L65" s="33">
        <f>$F65/spotřeba!$C$7</f>
        <v>2640.7039999999997</v>
      </c>
    </row>
    <row r="66" spans="1:12" s="40" customFormat="1" x14ac:dyDescent="0.25">
      <c r="A66" s="1" t="str">
        <f t="shared" si="4"/>
        <v>2243142-4</v>
      </c>
      <c r="B66" s="25">
        <v>224314</v>
      </c>
      <c r="C66" s="34" t="s">
        <v>58</v>
      </c>
      <c r="D66" s="27" t="s">
        <v>26</v>
      </c>
      <c r="E66" s="28">
        <v>3321.6</v>
      </c>
      <c r="F66" s="29">
        <f t="shared" si="3"/>
        <v>4019.136</v>
      </c>
      <c r="G66" s="32">
        <f>$E66/spotřeba!$C$5</f>
        <v>1509.8181818181818</v>
      </c>
      <c r="H66" s="207">
        <f>$F66/spotřeba!$C$5</f>
        <v>1826.8799999999999</v>
      </c>
      <c r="I66" s="32">
        <f>$E66/spotřeba!$C$6</f>
        <v>1845.3333333333333</v>
      </c>
      <c r="J66" s="33">
        <f>$F66/spotřeba!$C$6</f>
        <v>2232.8533333333335</v>
      </c>
      <c r="K66" s="32">
        <f>$E66/spotřeba!$C$7</f>
        <v>2214.4</v>
      </c>
      <c r="L66" s="33">
        <f>$F66/spotřeba!$C$7</f>
        <v>2679.424</v>
      </c>
    </row>
    <row r="67" spans="1:12" s="40" customFormat="1" x14ac:dyDescent="0.25">
      <c r="A67" s="1" t="str">
        <f t="shared" si="4"/>
        <v>2243562-4</v>
      </c>
      <c r="B67" s="25">
        <v>224356</v>
      </c>
      <c r="C67" s="34" t="s">
        <v>89</v>
      </c>
      <c r="D67" s="27" t="s">
        <v>26</v>
      </c>
      <c r="E67" s="28">
        <v>3321.6</v>
      </c>
      <c r="F67" s="29">
        <f t="shared" si="3"/>
        <v>4019.136</v>
      </c>
      <c r="G67" s="32">
        <f>$E67/spotřeba!$C$5</f>
        <v>1509.8181818181818</v>
      </c>
      <c r="H67" s="207">
        <f>$F67/spotřeba!$C$5</f>
        <v>1826.8799999999999</v>
      </c>
      <c r="I67" s="32">
        <f>$E67/spotřeba!$C$6</f>
        <v>1845.3333333333333</v>
      </c>
      <c r="J67" s="33">
        <f>$F67/spotřeba!$C$6</f>
        <v>2232.8533333333335</v>
      </c>
      <c r="K67" s="32">
        <f>$E67/spotřeba!$C$7</f>
        <v>2214.4</v>
      </c>
      <c r="L67" s="33">
        <f>$F67/spotřeba!$C$7</f>
        <v>2679.424</v>
      </c>
    </row>
    <row r="68" spans="1:12" s="40" customFormat="1" x14ac:dyDescent="0.25">
      <c r="A68" s="1" t="str">
        <f t="shared" si="4"/>
        <v>2242082-4</v>
      </c>
      <c r="B68" s="25">
        <v>224208</v>
      </c>
      <c r="C68" s="34" t="s">
        <v>38</v>
      </c>
      <c r="D68" s="27" t="s">
        <v>26</v>
      </c>
      <c r="E68" s="28">
        <v>3255.6</v>
      </c>
      <c r="F68" s="29">
        <f t="shared" si="3"/>
        <v>3939.2759999999998</v>
      </c>
      <c r="G68" s="32">
        <f>$E68/spotřeba!$C$5</f>
        <v>1479.8181818181818</v>
      </c>
      <c r="H68" s="207">
        <f>$F68/spotřeba!$C$5</f>
        <v>1790.5799999999997</v>
      </c>
      <c r="I68" s="32">
        <f>$E68/spotřeba!$C$6</f>
        <v>1808.6666666666665</v>
      </c>
      <c r="J68" s="33">
        <f>$F68/spotřeba!$C$6</f>
        <v>2188.4866666666667</v>
      </c>
      <c r="K68" s="32">
        <f>$E68/spotřeba!$C$7</f>
        <v>2170.4</v>
      </c>
      <c r="L68" s="33">
        <f>$F68/spotřeba!$C$7</f>
        <v>2626.1839999999997</v>
      </c>
    </row>
    <row r="69" spans="1:12" s="40" customFormat="1" ht="16.5" thickBot="1" x14ac:dyDescent="0.3">
      <c r="A69" s="1" t="str">
        <f t="shared" si="4"/>
        <v>2243472-4</v>
      </c>
      <c r="B69" s="41">
        <v>224347</v>
      </c>
      <c r="C69" s="86" t="s">
        <v>81</v>
      </c>
      <c r="D69" s="43" t="s">
        <v>26</v>
      </c>
      <c r="E69" s="87">
        <v>3321.6</v>
      </c>
      <c r="F69" s="88">
        <f>E69*1.21</f>
        <v>4019.136</v>
      </c>
      <c r="G69" s="46">
        <f>$E69/spotřeba!$C$5</f>
        <v>1509.8181818181818</v>
      </c>
      <c r="H69" s="208">
        <f>$F69/spotřeba!$C$5</f>
        <v>1826.8799999999999</v>
      </c>
      <c r="I69" s="46">
        <f>$E69/spotřeba!$C$6</f>
        <v>1845.3333333333333</v>
      </c>
      <c r="J69" s="208">
        <f>$F69/spotřeba!$C$6</f>
        <v>2232.8533333333335</v>
      </c>
      <c r="K69" s="46">
        <f>$E69/spotřeba!$C$7</f>
        <v>2214.4</v>
      </c>
      <c r="L69" s="208">
        <f>$F69/spotřeba!$C$7</f>
        <v>2679.424</v>
      </c>
    </row>
  </sheetData>
  <sheetProtection formatCells="0" formatColumns="0" formatRows="0" insertColumns="0" insertRows="0" insertHyperlinks="0" deleteColumns="0" deleteRows="0" sort="0" autoFilter="0" pivotTables="0"/>
  <sortState ref="B5:L69">
    <sortCondition ref="C5:C69"/>
    <sortCondition ref="D5:D69"/>
  </sortState>
  <mergeCells count="9">
    <mergeCell ref="B1:L1"/>
    <mergeCell ref="B2:B4"/>
    <mergeCell ref="C2:C4"/>
    <mergeCell ref="D2:D4"/>
    <mergeCell ref="E2:F3"/>
    <mergeCell ref="G2:L2"/>
    <mergeCell ref="G3:H3"/>
    <mergeCell ref="I3:J3"/>
    <mergeCell ref="K3:L3"/>
  </mergeCells>
  <printOptions horizontalCentered="1" verticalCentered="1"/>
  <pageMargins left="0" right="0" top="0.98425196850393704" bottom="0.19685039370078741" header="0" footer="0"/>
  <pageSetup paperSize="9" orientation="landscape" r:id="rId1"/>
  <headerFooter>
    <oddHeader>&amp;L       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zoomScaleNormal="100" workbookViewId="0">
      <selection activeCell="B32" sqref="B32:H32"/>
    </sheetView>
  </sheetViews>
  <sheetFormatPr defaultRowHeight="15.75" x14ac:dyDescent="0.25"/>
  <cols>
    <col min="1" max="1" width="9.7109375" style="2" customWidth="1"/>
    <col min="2" max="5" width="10.7109375" style="3" customWidth="1"/>
    <col min="6" max="6" width="9.140625" style="3" customWidth="1"/>
    <col min="7" max="10" width="11.5703125" style="1" customWidth="1"/>
    <col min="11" max="16384" width="9.140625" style="1"/>
  </cols>
  <sheetData>
    <row r="1" spans="1:11" customFormat="1" ht="21" x14ac:dyDescent="0.35">
      <c r="A1" s="377" t="s">
        <v>301</v>
      </c>
      <c r="B1" s="377"/>
      <c r="C1" s="377"/>
      <c r="D1" s="377"/>
      <c r="E1" s="377"/>
      <c r="F1" s="377"/>
      <c r="G1" s="377"/>
      <c r="H1" s="377"/>
      <c r="I1" s="377"/>
      <c r="J1" s="377"/>
    </row>
    <row r="2" spans="1:11" customFormat="1" ht="24" customHeight="1" thickBot="1" x14ac:dyDescent="0.4">
      <c r="A2" s="90"/>
      <c r="B2" s="90"/>
      <c r="C2" s="90"/>
      <c r="D2" s="90"/>
      <c r="E2" s="90"/>
      <c r="F2" s="90"/>
      <c r="G2" s="90"/>
      <c r="H2" s="90"/>
      <c r="I2" s="90"/>
      <c r="J2" s="90"/>
    </row>
    <row r="3" spans="1:11" customFormat="1" ht="21.75" thickBot="1" x14ac:dyDescent="0.4">
      <c r="A3" s="92">
        <v>330101</v>
      </c>
      <c r="B3" s="386" t="s">
        <v>100</v>
      </c>
      <c r="C3" s="386"/>
      <c r="D3" s="386"/>
      <c r="E3" s="387"/>
      <c r="F3" s="388" t="s">
        <v>101</v>
      </c>
      <c r="G3" s="389"/>
      <c r="H3" s="389"/>
      <c r="I3" s="389"/>
      <c r="J3" s="390"/>
      <c r="K3" s="93"/>
    </row>
    <row r="4" spans="1:11" customFormat="1" ht="46.5" customHeight="1" x14ac:dyDescent="0.35">
      <c r="A4" s="94" t="s">
        <v>102</v>
      </c>
      <c r="B4" s="95" t="s">
        <v>103</v>
      </c>
      <c r="C4" s="95" t="s">
        <v>104</v>
      </c>
      <c r="D4" s="95" t="s">
        <v>105</v>
      </c>
      <c r="E4" s="96" t="s">
        <v>106</v>
      </c>
      <c r="F4" s="391" t="s">
        <v>107</v>
      </c>
      <c r="G4" s="392"/>
      <c r="H4" s="392"/>
      <c r="I4" s="392"/>
      <c r="J4" s="393"/>
      <c r="K4" s="93"/>
    </row>
    <row r="5" spans="1:11" ht="15.75" customHeight="1" x14ac:dyDescent="0.25">
      <c r="A5" s="97" t="s">
        <v>26</v>
      </c>
      <c r="B5" s="9">
        <f>1/C5</f>
        <v>1</v>
      </c>
      <c r="C5" s="98">
        <f>1</f>
        <v>1</v>
      </c>
      <c r="D5" s="397">
        <v>360.3</v>
      </c>
      <c r="E5" s="400">
        <f>D5*1.21</f>
        <v>435.96300000000002</v>
      </c>
      <c r="F5" s="391"/>
      <c r="G5" s="392"/>
      <c r="H5" s="392"/>
      <c r="I5" s="392"/>
      <c r="J5" s="393"/>
    </row>
    <row r="6" spans="1:11" ht="15.75" customHeight="1" x14ac:dyDescent="0.25">
      <c r="A6" s="97" t="s">
        <v>108</v>
      </c>
      <c r="B6" s="9">
        <v>0.9</v>
      </c>
      <c r="C6" s="98">
        <f>1/B6</f>
        <v>1.1111111111111112</v>
      </c>
      <c r="D6" s="398"/>
      <c r="E6" s="401"/>
      <c r="F6" s="391"/>
      <c r="G6" s="392"/>
      <c r="H6" s="392"/>
      <c r="I6" s="392"/>
      <c r="J6" s="393"/>
    </row>
    <row r="7" spans="1:11" ht="15.75" customHeight="1" thickBot="1" x14ac:dyDescent="0.3">
      <c r="A7" s="99" t="s">
        <v>28</v>
      </c>
      <c r="B7" s="11">
        <v>0.8</v>
      </c>
      <c r="C7" s="100">
        <f>1/B7</f>
        <v>1.25</v>
      </c>
      <c r="D7" s="399"/>
      <c r="E7" s="402"/>
      <c r="F7" s="394"/>
      <c r="G7" s="395"/>
      <c r="H7" s="395"/>
      <c r="I7" s="395"/>
      <c r="J7" s="396"/>
    </row>
    <row r="8" spans="1:11" customFormat="1" ht="21.75" thickBot="1" x14ac:dyDescent="0.4">
      <c r="A8" s="90"/>
      <c r="B8" s="90"/>
      <c r="C8" s="90"/>
      <c r="D8" s="90"/>
      <c r="E8" s="90"/>
      <c r="F8" s="90"/>
      <c r="G8" s="90"/>
      <c r="H8" s="90"/>
      <c r="I8" s="90"/>
      <c r="J8" s="90"/>
    </row>
    <row r="9" spans="1:11" ht="21.75" customHeight="1" thickBot="1" x14ac:dyDescent="0.35">
      <c r="A9" s="101">
        <v>330102</v>
      </c>
      <c r="B9" s="403" t="s">
        <v>109</v>
      </c>
      <c r="C9" s="403"/>
      <c r="D9" s="403"/>
      <c r="E9" s="404"/>
      <c r="F9" s="388" t="s">
        <v>101</v>
      </c>
      <c r="G9" s="389"/>
      <c r="H9" s="389"/>
      <c r="I9" s="389"/>
      <c r="J9" s="390"/>
    </row>
    <row r="10" spans="1:11" ht="46.5" customHeight="1" x14ac:dyDescent="0.25">
      <c r="A10" s="94" t="s">
        <v>102</v>
      </c>
      <c r="B10" s="95" t="s">
        <v>103</v>
      </c>
      <c r="C10" s="95" t="s">
        <v>104</v>
      </c>
      <c r="D10" s="95" t="s">
        <v>105</v>
      </c>
      <c r="E10" s="96" t="s">
        <v>106</v>
      </c>
      <c r="F10" s="392" t="s">
        <v>110</v>
      </c>
      <c r="G10" s="392"/>
      <c r="H10" s="392"/>
      <c r="I10" s="392"/>
      <c r="J10" s="393"/>
    </row>
    <row r="11" spans="1:11" ht="15.75" customHeight="1" x14ac:dyDescent="0.25">
      <c r="A11" s="102" t="s">
        <v>26</v>
      </c>
      <c r="B11" s="405" t="s">
        <v>111</v>
      </c>
      <c r="C11" s="406" t="s">
        <v>112</v>
      </c>
      <c r="D11" s="408">
        <v>393.4</v>
      </c>
      <c r="E11" s="409">
        <f>D11*1.21</f>
        <v>476.01399999999995</v>
      </c>
      <c r="F11" s="392"/>
      <c r="G11" s="392"/>
      <c r="H11" s="392"/>
      <c r="I11" s="392"/>
      <c r="J11" s="393"/>
    </row>
    <row r="12" spans="1:11" ht="15.75" customHeight="1" x14ac:dyDescent="0.25">
      <c r="A12" s="102" t="s">
        <v>108</v>
      </c>
      <c r="B12" s="405"/>
      <c r="C12" s="407"/>
      <c r="D12" s="408"/>
      <c r="E12" s="409"/>
      <c r="F12" s="392"/>
      <c r="G12" s="392"/>
      <c r="H12" s="392"/>
      <c r="I12" s="392"/>
      <c r="J12" s="393"/>
    </row>
    <row r="13" spans="1:11" ht="16.5" customHeight="1" thickBot="1" x14ac:dyDescent="0.3">
      <c r="A13" s="103" t="s">
        <v>28</v>
      </c>
      <c r="B13" s="410" t="s">
        <v>113</v>
      </c>
      <c r="C13" s="410"/>
      <c r="D13" s="410"/>
      <c r="E13" s="411"/>
      <c r="F13" s="395"/>
      <c r="G13" s="395"/>
      <c r="H13" s="395"/>
      <c r="I13" s="395"/>
      <c r="J13" s="396"/>
    </row>
    <row r="14" spans="1:11" ht="21" customHeight="1" thickBot="1" x14ac:dyDescent="0.3"/>
    <row r="15" spans="1:11" ht="21.75" customHeight="1" thickBot="1" x14ac:dyDescent="0.35">
      <c r="A15" s="92">
        <v>330103</v>
      </c>
      <c r="B15" s="386" t="s">
        <v>114</v>
      </c>
      <c r="C15" s="386"/>
      <c r="D15" s="386"/>
      <c r="E15" s="386"/>
      <c r="F15" s="388" t="s">
        <v>101</v>
      </c>
      <c r="G15" s="389"/>
      <c r="H15" s="389"/>
      <c r="I15" s="389"/>
      <c r="J15" s="390"/>
    </row>
    <row r="16" spans="1:11" ht="46.5" customHeight="1" x14ac:dyDescent="0.25">
      <c r="A16" s="94" t="s">
        <v>102</v>
      </c>
      <c r="B16" s="95" t="s">
        <v>103</v>
      </c>
      <c r="C16" s="95" t="s">
        <v>104</v>
      </c>
      <c r="D16" s="95" t="s">
        <v>105</v>
      </c>
      <c r="E16" s="96" t="s">
        <v>106</v>
      </c>
      <c r="F16" s="391" t="s">
        <v>248</v>
      </c>
      <c r="G16" s="392"/>
      <c r="H16" s="392"/>
      <c r="I16" s="392"/>
      <c r="J16" s="393"/>
    </row>
    <row r="17" spans="1:10" ht="15.75" customHeight="1" x14ac:dyDescent="0.25">
      <c r="A17" s="97" t="s">
        <v>26</v>
      </c>
      <c r="B17" s="9">
        <f>1/C17</f>
        <v>1</v>
      </c>
      <c r="C17" s="98">
        <v>1</v>
      </c>
      <c r="D17" s="91">
        <v>623.1</v>
      </c>
      <c r="E17" s="33">
        <f>D17*1.21</f>
        <v>753.95100000000002</v>
      </c>
      <c r="F17" s="391"/>
      <c r="G17" s="392"/>
      <c r="H17" s="392"/>
      <c r="I17" s="392"/>
      <c r="J17" s="393"/>
    </row>
    <row r="18" spans="1:10" ht="15.75" customHeight="1" x14ac:dyDescent="0.25">
      <c r="A18" s="97" t="s">
        <v>108</v>
      </c>
      <c r="B18" s="9">
        <v>1</v>
      </c>
      <c r="C18" s="98">
        <v>1</v>
      </c>
      <c r="D18" s="91">
        <v>623.1</v>
      </c>
      <c r="E18" s="33">
        <f>D18*1.21</f>
        <v>753.95100000000002</v>
      </c>
      <c r="F18" s="391"/>
      <c r="G18" s="392"/>
      <c r="H18" s="392"/>
      <c r="I18" s="392"/>
      <c r="J18" s="393"/>
    </row>
    <row r="19" spans="1:10" ht="16.5" customHeight="1" thickBot="1" x14ac:dyDescent="0.3">
      <c r="A19" s="99" t="s">
        <v>28</v>
      </c>
      <c r="B19" s="11">
        <v>1</v>
      </c>
      <c r="C19" s="100">
        <v>1</v>
      </c>
      <c r="D19" s="104">
        <v>623.1</v>
      </c>
      <c r="E19" s="47">
        <f>D19*1.21</f>
        <v>753.95100000000002</v>
      </c>
      <c r="F19" s="394"/>
      <c r="G19" s="395"/>
      <c r="H19" s="395"/>
      <c r="I19" s="395"/>
      <c r="J19" s="396"/>
    </row>
    <row r="21" spans="1:10" ht="18.75" x14ac:dyDescent="0.3">
      <c r="A21" s="415" t="s">
        <v>115</v>
      </c>
      <c r="B21" s="415"/>
      <c r="C21" s="415"/>
      <c r="D21" s="415"/>
      <c r="E21" s="415"/>
      <c r="F21" s="415"/>
      <c r="G21" s="415"/>
      <c r="H21" s="415"/>
      <c r="I21" s="415"/>
      <c r="J21" s="415"/>
    </row>
    <row r="22" spans="1:10" ht="37.5" customHeight="1" x14ac:dyDescent="0.25"/>
    <row r="24" spans="1:10" customFormat="1" ht="21.75" customHeight="1" thickBot="1" x14ac:dyDescent="0.4">
      <c r="A24" s="377" t="str">
        <f>A1</f>
        <v>Ceník a vydatnost doplňkové chemie (ceník platný od 16.3.2022)</v>
      </c>
      <c r="B24" s="377"/>
      <c r="C24" s="377"/>
      <c r="D24" s="377"/>
      <c r="E24" s="377"/>
      <c r="F24" s="377"/>
      <c r="G24" s="377"/>
      <c r="H24" s="377"/>
      <c r="I24" s="377"/>
      <c r="J24" s="377"/>
    </row>
    <row r="25" spans="1:10" ht="17.25" customHeight="1" thickBot="1" x14ac:dyDescent="0.35">
      <c r="A25" s="416" t="s">
        <v>116</v>
      </c>
      <c r="B25" s="386"/>
      <c r="C25" s="386"/>
      <c r="D25" s="386"/>
      <c r="E25" s="386"/>
      <c r="F25" s="386"/>
      <c r="G25" s="386"/>
      <c r="H25" s="386"/>
      <c r="I25" s="386"/>
      <c r="J25" s="387"/>
    </row>
    <row r="26" spans="1:10" ht="45.75" customHeight="1" thickBot="1" x14ac:dyDescent="0.3">
      <c r="A26" s="105" t="s">
        <v>10</v>
      </c>
      <c r="B26" s="417" t="s">
        <v>11</v>
      </c>
      <c r="C26" s="417"/>
      <c r="D26" s="417"/>
      <c r="E26" s="417"/>
      <c r="F26" s="417"/>
      <c r="G26" s="106" t="s">
        <v>117</v>
      </c>
      <c r="H26" s="107" t="s">
        <v>118</v>
      </c>
      <c r="I26" s="106" t="s">
        <v>105</v>
      </c>
      <c r="J26" s="108" t="s">
        <v>106</v>
      </c>
    </row>
    <row r="27" spans="1:10" x14ac:dyDescent="0.25">
      <c r="A27" s="109">
        <v>310104</v>
      </c>
      <c r="B27" s="418" t="s">
        <v>119</v>
      </c>
      <c r="C27" s="419"/>
      <c r="D27" s="419"/>
      <c r="E27" s="419"/>
      <c r="F27" s="420"/>
      <c r="G27" s="9">
        <f>1/H27</f>
        <v>4</v>
      </c>
      <c r="H27" s="98">
        <v>0.25</v>
      </c>
      <c r="I27" s="274">
        <v>371.9</v>
      </c>
      <c r="J27" s="33">
        <f>I27*1.21</f>
        <v>449.99899999999997</v>
      </c>
    </row>
    <row r="28" spans="1:10" ht="16.5" thickBot="1" x14ac:dyDescent="0.3">
      <c r="A28" s="110">
        <v>500141</v>
      </c>
      <c r="B28" s="421" t="s">
        <v>120</v>
      </c>
      <c r="C28" s="421"/>
      <c r="D28" s="421"/>
      <c r="E28" s="421"/>
      <c r="F28" s="421"/>
      <c r="G28" s="11">
        <f>1/H28</f>
        <v>5</v>
      </c>
      <c r="H28" s="100">
        <v>0.2</v>
      </c>
      <c r="I28" s="104">
        <v>81.8</v>
      </c>
      <c r="J28" s="47">
        <f>I28*1.21</f>
        <v>98.977999999999994</v>
      </c>
    </row>
    <row r="29" spans="1:10" ht="7.5" customHeight="1" x14ac:dyDescent="0.25"/>
    <row r="30" spans="1:10" ht="6.75" customHeight="1" thickBot="1" x14ac:dyDescent="0.3"/>
    <row r="31" spans="1:10" ht="16.5" customHeight="1" thickBot="1" x14ac:dyDescent="0.3">
      <c r="A31" s="422" t="s">
        <v>121</v>
      </c>
      <c r="B31" s="423"/>
      <c r="C31" s="423"/>
      <c r="D31" s="423"/>
      <c r="E31" s="423"/>
      <c r="F31" s="423"/>
      <c r="G31" s="423"/>
      <c r="H31" s="423"/>
      <c r="I31" s="423"/>
      <c r="J31" s="424"/>
    </row>
    <row r="32" spans="1:10" ht="45.75" customHeight="1" thickBot="1" x14ac:dyDescent="0.3">
      <c r="A32" s="105" t="s">
        <v>10</v>
      </c>
      <c r="B32" s="425" t="s">
        <v>11</v>
      </c>
      <c r="C32" s="426"/>
      <c r="D32" s="426"/>
      <c r="E32" s="426"/>
      <c r="F32" s="427"/>
      <c r="G32" s="106" t="s">
        <v>117</v>
      </c>
      <c r="H32" s="107" t="s">
        <v>118</v>
      </c>
      <c r="I32" s="106" t="s">
        <v>105</v>
      </c>
      <c r="J32" s="108" t="s">
        <v>106</v>
      </c>
    </row>
    <row r="33" spans="1:10" x14ac:dyDescent="0.25">
      <c r="A33" s="111">
        <v>320106</v>
      </c>
      <c r="B33" s="412" t="s">
        <v>122</v>
      </c>
      <c r="C33" s="413"/>
      <c r="D33" s="413"/>
      <c r="E33" s="413"/>
      <c r="F33" s="414"/>
      <c r="G33" s="112">
        <f>1/H33</f>
        <v>5</v>
      </c>
      <c r="H33" s="113">
        <v>0.2</v>
      </c>
      <c r="I33" s="114">
        <v>644.6</v>
      </c>
      <c r="J33" s="115">
        <f>I33*1.21</f>
        <v>779.96600000000001</v>
      </c>
    </row>
    <row r="34" spans="1:10" ht="18.75" thickBot="1" x14ac:dyDescent="0.3">
      <c r="A34" s="116" t="s">
        <v>271</v>
      </c>
      <c r="B34" s="412" t="s">
        <v>123</v>
      </c>
      <c r="C34" s="413"/>
      <c r="D34" s="413"/>
      <c r="E34" s="413"/>
      <c r="F34" s="414"/>
      <c r="G34" s="112">
        <f>1/H34</f>
        <v>5</v>
      </c>
      <c r="H34" s="113">
        <v>0.2</v>
      </c>
      <c r="I34" s="114">
        <v>342.1</v>
      </c>
      <c r="J34" s="115">
        <f>I34*1.21</f>
        <v>413.94100000000003</v>
      </c>
    </row>
    <row r="35" spans="1:10" ht="14.25" customHeight="1" x14ac:dyDescent="0.25">
      <c r="A35" s="428" t="s">
        <v>124</v>
      </c>
      <c r="B35" s="429"/>
      <c r="C35" s="430"/>
      <c r="D35" s="428" t="s">
        <v>125</v>
      </c>
      <c r="E35" s="429"/>
      <c r="F35" s="429"/>
      <c r="G35" s="430"/>
      <c r="H35" s="428"/>
      <c r="I35" s="429"/>
      <c r="J35" s="430"/>
    </row>
    <row r="36" spans="1:10" ht="10.5" customHeight="1" x14ac:dyDescent="0.25">
      <c r="A36" s="431" t="s">
        <v>126</v>
      </c>
      <c r="B36" s="432"/>
      <c r="C36" s="433"/>
      <c r="D36" s="431" t="s">
        <v>127</v>
      </c>
      <c r="E36" s="432"/>
      <c r="F36" s="432"/>
      <c r="G36" s="433"/>
      <c r="H36" s="431"/>
      <c r="I36" s="432"/>
      <c r="J36" s="433"/>
    </row>
    <row r="37" spans="1:10" ht="10.5" customHeight="1" x14ac:dyDescent="0.25">
      <c r="A37" s="431"/>
      <c r="B37" s="432"/>
      <c r="C37" s="433"/>
      <c r="D37" s="431"/>
      <c r="E37" s="432"/>
      <c r="F37" s="432"/>
      <c r="G37" s="433"/>
      <c r="H37" s="431"/>
      <c r="I37" s="432"/>
      <c r="J37" s="433"/>
    </row>
    <row r="38" spans="1:10" ht="10.5" customHeight="1" thickBot="1" x14ac:dyDescent="0.3">
      <c r="A38" s="434"/>
      <c r="B38" s="435"/>
      <c r="C38" s="436"/>
      <c r="D38" s="434"/>
      <c r="E38" s="435"/>
      <c r="F38" s="435"/>
      <c r="G38" s="436"/>
      <c r="H38" s="434"/>
      <c r="I38" s="435"/>
      <c r="J38" s="436"/>
    </row>
    <row r="39" spans="1:10" ht="9" customHeight="1" thickBot="1" x14ac:dyDescent="0.3">
      <c r="A39" s="117"/>
      <c r="B39" s="117"/>
      <c r="C39" s="117"/>
    </row>
    <row r="40" spans="1:10" ht="19.5" thickBot="1" x14ac:dyDescent="0.35">
      <c r="A40" s="416" t="s">
        <v>128</v>
      </c>
      <c r="B40" s="386"/>
      <c r="C40" s="386"/>
      <c r="D40" s="386"/>
      <c r="E40" s="386"/>
      <c r="F40" s="386"/>
      <c r="G40" s="386"/>
      <c r="H40" s="386"/>
      <c r="I40" s="386"/>
      <c r="J40" s="387"/>
    </row>
    <row r="41" spans="1:10" ht="30.75" customHeight="1" thickBot="1" x14ac:dyDescent="0.3">
      <c r="A41" s="118" t="s">
        <v>10</v>
      </c>
      <c r="B41" s="437" t="s">
        <v>11</v>
      </c>
      <c r="C41" s="437"/>
      <c r="D41" s="437"/>
      <c r="E41" s="437"/>
      <c r="F41" s="437"/>
      <c r="G41" s="438" t="s">
        <v>105</v>
      </c>
      <c r="H41" s="439"/>
      <c r="I41" s="438" t="s">
        <v>106</v>
      </c>
      <c r="J41" s="440"/>
    </row>
    <row r="42" spans="1:10" ht="15.75" customHeight="1" x14ac:dyDescent="0.25">
      <c r="A42" s="119">
        <v>320102</v>
      </c>
      <c r="B42" s="441" t="s">
        <v>129</v>
      </c>
      <c r="C42" s="441"/>
      <c r="D42" s="441"/>
      <c r="E42" s="441"/>
      <c r="F42" s="441"/>
      <c r="G42" s="442">
        <v>381.8</v>
      </c>
      <c r="H42" s="443"/>
      <c r="I42" s="444">
        <f>G42*1.21</f>
        <v>461.97800000000001</v>
      </c>
      <c r="J42" s="445"/>
    </row>
    <row r="43" spans="1:10" x14ac:dyDescent="0.25">
      <c r="A43" s="120">
        <v>320101</v>
      </c>
      <c r="B43" s="446" t="s">
        <v>130</v>
      </c>
      <c r="C43" s="446"/>
      <c r="D43" s="446"/>
      <c r="E43" s="446"/>
      <c r="F43" s="446"/>
      <c r="G43" s="447">
        <v>381.8</v>
      </c>
      <c r="H43" s="448"/>
      <c r="I43" s="449">
        <f>G43*1.21</f>
        <v>461.97800000000001</v>
      </c>
      <c r="J43" s="450"/>
    </row>
    <row r="44" spans="1:10" x14ac:dyDescent="0.25">
      <c r="A44" s="111">
        <v>320104</v>
      </c>
      <c r="B44" s="451" t="s">
        <v>131</v>
      </c>
      <c r="C44" s="451"/>
      <c r="D44" s="451"/>
      <c r="E44" s="451"/>
      <c r="F44" s="451"/>
      <c r="G44" s="452">
        <v>624</v>
      </c>
      <c r="H44" s="453"/>
      <c r="I44" s="454">
        <f>G44*1.21</f>
        <v>755.04</v>
      </c>
      <c r="J44" s="455"/>
    </row>
    <row r="45" spans="1:10" x14ac:dyDescent="0.25">
      <c r="A45" s="109">
        <v>320110</v>
      </c>
      <c r="B45" s="456" t="s">
        <v>132</v>
      </c>
      <c r="C45" s="456"/>
      <c r="D45" s="456"/>
      <c r="E45" s="456"/>
      <c r="F45" s="456"/>
      <c r="G45" s="457">
        <v>624</v>
      </c>
      <c r="H45" s="457"/>
      <c r="I45" s="458">
        <f>G45*1.21</f>
        <v>755.04</v>
      </c>
      <c r="J45" s="459"/>
    </row>
    <row r="46" spans="1:10" ht="16.5" thickBot="1" x14ac:dyDescent="0.3">
      <c r="A46" s="110">
        <v>320109</v>
      </c>
      <c r="B46" s="460" t="s">
        <v>133</v>
      </c>
      <c r="C46" s="460"/>
      <c r="D46" s="460"/>
      <c r="E46" s="460"/>
      <c r="F46" s="460"/>
      <c r="G46" s="461">
        <v>661.2</v>
      </c>
      <c r="H46" s="461"/>
      <c r="I46" s="462">
        <f>G46*1.21</f>
        <v>800.05200000000002</v>
      </c>
      <c r="J46" s="463"/>
    </row>
    <row r="47" spans="1:10" ht="7.5" customHeight="1" thickBot="1" x14ac:dyDescent="0.3"/>
    <row r="48" spans="1:10" ht="17.25" customHeight="1" thickBot="1" x14ac:dyDescent="0.35">
      <c r="A48" s="464" t="s">
        <v>134</v>
      </c>
      <c r="B48" s="465"/>
      <c r="C48" s="465"/>
      <c r="D48" s="465"/>
      <c r="E48" s="465"/>
      <c r="F48" s="465"/>
      <c r="G48" s="465"/>
      <c r="H48" s="465"/>
      <c r="I48" s="465"/>
      <c r="J48" s="466"/>
    </row>
    <row r="49" spans="1:10" ht="43.5" customHeight="1" thickBot="1" x14ac:dyDescent="0.3">
      <c r="A49" s="105" t="s">
        <v>10</v>
      </c>
      <c r="B49" s="425" t="s">
        <v>11</v>
      </c>
      <c r="C49" s="426"/>
      <c r="D49" s="426"/>
      <c r="E49" s="426"/>
      <c r="F49" s="427"/>
      <c r="G49" s="106" t="s">
        <v>117</v>
      </c>
      <c r="H49" s="107" t="s">
        <v>118</v>
      </c>
      <c r="I49" s="106" t="s">
        <v>105</v>
      </c>
      <c r="J49" s="108" t="s">
        <v>106</v>
      </c>
    </row>
    <row r="50" spans="1:10" ht="15" customHeight="1" thickBot="1" x14ac:dyDescent="0.3">
      <c r="A50" s="121">
        <v>340102</v>
      </c>
      <c r="B50" s="467" t="s">
        <v>135</v>
      </c>
      <c r="C50" s="468"/>
      <c r="D50" s="468"/>
      <c r="E50" s="468"/>
      <c r="F50" s="469"/>
      <c r="G50" s="122">
        <f>1/H50</f>
        <v>1</v>
      </c>
      <c r="H50" s="123">
        <v>1</v>
      </c>
      <c r="I50" s="124">
        <v>309.89999999999998</v>
      </c>
      <c r="J50" s="125">
        <f>I50*1.21</f>
        <v>374.97899999999998</v>
      </c>
    </row>
    <row r="51" spans="1:10" ht="14.25" customHeight="1" x14ac:dyDescent="0.25">
      <c r="A51" s="428" t="s">
        <v>136</v>
      </c>
      <c r="B51" s="429"/>
      <c r="C51" s="429"/>
      <c r="D51" s="429"/>
      <c r="E51" s="429"/>
      <c r="F51" s="429"/>
      <c r="G51" s="429"/>
      <c r="H51" s="429"/>
      <c r="I51" s="429"/>
      <c r="J51" s="430"/>
    </row>
    <row r="52" spans="1:10" ht="11.25" customHeight="1" x14ac:dyDescent="0.25">
      <c r="A52" s="431" t="s">
        <v>137</v>
      </c>
      <c r="B52" s="432"/>
      <c r="C52" s="432"/>
      <c r="D52" s="432"/>
      <c r="E52" s="432"/>
      <c r="F52" s="432"/>
      <c r="G52" s="432"/>
      <c r="H52" s="432"/>
      <c r="I52" s="432"/>
      <c r="J52" s="433"/>
    </row>
    <row r="53" spans="1:10" ht="15.75" customHeight="1" thickBot="1" x14ac:dyDescent="0.3">
      <c r="A53" s="434"/>
      <c r="B53" s="435"/>
      <c r="C53" s="435"/>
      <c r="D53" s="435"/>
      <c r="E53" s="435"/>
      <c r="F53" s="435"/>
      <c r="G53" s="435"/>
      <c r="H53" s="435"/>
      <c r="I53" s="435"/>
      <c r="J53" s="436"/>
    </row>
  </sheetData>
  <sheetProtection formatCells="0" formatColumns="0" formatRows="0" insertColumns="0" insertRows="0" insertHyperlinks="0" deleteColumns="0" deleteRows="0" sort="0" autoFilter="0" pivotTables="0"/>
  <mergeCells count="57">
    <mergeCell ref="A48:J48"/>
    <mergeCell ref="B49:F49"/>
    <mergeCell ref="B50:F50"/>
    <mergeCell ref="A51:J51"/>
    <mergeCell ref="A52:J53"/>
    <mergeCell ref="B45:F45"/>
    <mergeCell ref="G45:H45"/>
    <mergeCell ref="I45:J45"/>
    <mergeCell ref="B46:F46"/>
    <mergeCell ref="G46:H46"/>
    <mergeCell ref="I46:J46"/>
    <mergeCell ref="B43:F43"/>
    <mergeCell ref="G43:H43"/>
    <mergeCell ref="I43:J43"/>
    <mergeCell ref="B44:F44"/>
    <mergeCell ref="G44:H44"/>
    <mergeCell ref="I44:J44"/>
    <mergeCell ref="A40:J40"/>
    <mergeCell ref="B41:F41"/>
    <mergeCell ref="G41:H41"/>
    <mergeCell ref="I41:J41"/>
    <mergeCell ref="B42:F42"/>
    <mergeCell ref="G42:H42"/>
    <mergeCell ref="I42:J42"/>
    <mergeCell ref="B34:F34"/>
    <mergeCell ref="A35:C35"/>
    <mergeCell ref="D35:G35"/>
    <mergeCell ref="H35:J35"/>
    <mergeCell ref="A36:C38"/>
    <mergeCell ref="D36:G38"/>
    <mergeCell ref="H36:J38"/>
    <mergeCell ref="B33:F33"/>
    <mergeCell ref="B15:E15"/>
    <mergeCell ref="F15:J15"/>
    <mergeCell ref="F16:J19"/>
    <mergeCell ref="A21:J21"/>
    <mergeCell ref="A24:J24"/>
    <mergeCell ref="A25:J25"/>
    <mergeCell ref="B26:F26"/>
    <mergeCell ref="B27:F27"/>
    <mergeCell ref="B28:F28"/>
    <mergeCell ref="A31:J31"/>
    <mergeCell ref="B32:F32"/>
    <mergeCell ref="B9:E9"/>
    <mergeCell ref="F9:J9"/>
    <mergeCell ref="F10:J13"/>
    <mergeCell ref="B11:B12"/>
    <mergeCell ref="C11:C12"/>
    <mergeCell ref="D11:D12"/>
    <mergeCell ref="E11:E12"/>
    <mergeCell ref="B13:E13"/>
    <mergeCell ref="A1:J1"/>
    <mergeCell ref="B3:E3"/>
    <mergeCell ref="F3:J3"/>
    <mergeCell ref="F4:J7"/>
    <mergeCell ref="D5:D7"/>
    <mergeCell ref="E5:E7"/>
  </mergeCells>
  <printOptions horizontalCentered="1" verticalCentered="1"/>
  <pageMargins left="0" right="0" top="0.78740157480314965" bottom="0" header="0" footer="0"/>
  <pageSetup paperSize="9" orientation="landscape" r:id="rId1"/>
  <headerFooter>
    <oddHeader>&amp;L       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opLeftCell="A70" zoomScaleNormal="100" workbookViewId="0">
      <selection activeCell="D32" sqref="D32:H32"/>
    </sheetView>
  </sheetViews>
  <sheetFormatPr defaultRowHeight="15.75" x14ac:dyDescent="0.25"/>
  <cols>
    <col min="1" max="1" width="9.7109375" style="2" customWidth="1"/>
    <col min="2" max="2" width="41.7109375" style="3" customWidth="1"/>
    <col min="3" max="3" width="9.140625" style="3" customWidth="1"/>
    <col min="4" max="4" width="9.28515625" style="3" customWidth="1"/>
    <col min="5" max="16384" width="9.140625" style="1"/>
  </cols>
  <sheetData>
    <row r="1" spans="1:11" ht="35.25" customHeight="1" x14ac:dyDescent="0.25">
      <c r="A1" s="470" t="s">
        <v>138</v>
      </c>
      <c r="B1" s="470"/>
      <c r="C1" s="470"/>
      <c r="D1" s="470"/>
      <c r="E1" s="470"/>
      <c r="F1" s="470"/>
      <c r="G1" s="470"/>
      <c r="H1" s="470"/>
      <c r="I1" s="470"/>
      <c r="J1" s="470"/>
      <c r="K1" s="126" t="s">
        <v>302</v>
      </c>
    </row>
    <row r="2" spans="1:11" ht="20.25" customHeight="1" thickBot="1" x14ac:dyDescent="0.3">
      <c r="A2" s="127"/>
      <c r="B2" s="127"/>
      <c r="C2" s="127"/>
      <c r="D2" s="127"/>
      <c r="E2" s="127"/>
      <c r="F2" s="471" t="s">
        <v>139</v>
      </c>
      <c r="G2" s="471"/>
      <c r="H2" s="127"/>
      <c r="I2" s="471" t="s">
        <v>140</v>
      </c>
      <c r="J2" s="471"/>
      <c r="K2" s="128"/>
    </row>
    <row r="3" spans="1:11" ht="16.5" customHeight="1" x14ac:dyDescent="0.25">
      <c r="A3" s="353" t="s">
        <v>10</v>
      </c>
      <c r="B3" s="356" t="s">
        <v>11</v>
      </c>
      <c r="C3" s="358" t="s">
        <v>141</v>
      </c>
      <c r="D3" s="359"/>
    </row>
    <row r="4" spans="1:11" ht="14.25" customHeight="1" x14ac:dyDescent="0.25">
      <c r="A4" s="354"/>
      <c r="B4" s="354"/>
      <c r="C4" s="360"/>
      <c r="D4" s="361"/>
    </row>
    <row r="5" spans="1:11" thickBot="1" x14ac:dyDescent="0.3">
      <c r="A5" s="472"/>
      <c r="B5" s="472"/>
      <c r="C5" s="129" t="s">
        <v>20</v>
      </c>
      <c r="D5" s="130" t="s">
        <v>21</v>
      </c>
    </row>
    <row r="6" spans="1:11" x14ac:dyDescent="0.25">
      <c r="A6" s="131">
        <v>406110</v>
      </c>
      <c r="B6" s="132" t="s">
        <v>142</v>
      </c>
      <c r="C6" s="133">
        <v>103.32000000000001</v>
      </c>
      <c r="D6" s="134">
        <f t="shared" ref="D6:D20" si="0">C6*1.21</f>
        <v>125.0172</v>
      </c>
    </row>
    <row r="7" spans="1:11" x14ac:dyDescent="0.25">
      <c r="A7" s="135">
        <v>408110</v>
      </c>
      <c r="B7" s="51" t="s">
        <v>143</v>
      </c>
      <c r="C7" s="136">
        <v>113.39999999999999</v>
      </c>
      <c r="D7" s="137">
        <f t="shared" si="0"/>
        <v>137.214</v>
      </c>
    </row>
    <row r="8" spans="1:11" x14ac:dyDescent="0.25">
      <c r="A8" s="135">
        <v>410110</v>
      </c>
      <c r="B8" s="51" t="s">
        <v>144</v>
      </c>
      <c r="C8" s="136">
        <v>126</v>
      </c>
      <c r="D8" s="137">
        <f t="shared" si="0"/>
        <v>152.46</v>
      </c>
    </row>
    <row r="9" spans="1:11" x14ac:dyDescent="0.25">
      <c r="A9" s="135">
        <v>412110</v>
      </c>
      <c r="B9" s="51" t="s">
        <v>145</v>
      </c>
      <c r="C9" s="136">
        <v>138.6</v>
      </c>
      <c r="D9" s="137">
        <f t="shared" si="0"/>
        <v>167.70599999999999</v>
      </c>
    </row>
    <row r="10" spans="1:11" x14ac:dyDescent="0.25">
      <c r="A10" s="138">
        <v>415110</v>
      </c>
      <c r="B10" s="139" t="s">
        <v>146</v>
      </c>
      <c r="C10" s="140">
        <v>151.19999999999999</v>
      </c>
      <c r="D10" s="141">
        <f t="shared" si="0"/>
        <v>182.95199999999997</v>
      </c>
    </row>
    <row r="11" spans="1:11" x14ac:dyDescent="0.25">
      <c r="A11" s="142">
        <v>408210</v>
      </c>
      <c r="B11" s="143" t="s">
        <v>147</v>
      </c>
      <c r="C11" s="144">
        <v>189</v>
      </c>
      <c r="D11" s="145">
        <f t="shared" si="0"/>
        <v>228.69</v>
      </c>
    </row>
    <row r="12" spans="1:11" x14ac:dyDescent="0.25">
      <c r="A12" s="135">
        <v>412210</v>
      </c>
      <c r="B12" s="51" t="s">
        <v>148</v>
      </c>
      <c r="C12" s="136">
        <v>189</v>
      </c>
      <c r="D12" s="137">
        <f t="shared" si="0"/>
        <v>228.69</v>
      </c>
      <c r="F12" s="471" t="s">
        <v>149</v>
      </c>
      <c r="G12" s="471"/>
      <c r="I12" s="471" t="s">
        <v>150</v>
      </c>
      <c r="J12" s="471"/>
    </row>
    <row r="13" spans="1:11" x14ac:dyDescent="0.25">
      <c r="A13" s="138">
        <v>415210</v>
      </c>
      <c r="B13" s="139" t="s">
        <v>151</v>
      </c>
      <c r="C13" s="140">
        <v>239.39999999999998</v>
      </c>
      <c r="D13" s="141">
        <f t="shared" si="0"/>
        <v>289.67399999999998</v>
      </c>
    </row>
    <row r="14" spans="1:11" x14ac:dyDescent="0.25">
      <c r="A14" s="142">
        <v>408310</v>
      </c>
      <c r="B14" s="143" t="s">
        <v>152</v>
      </c>
      <c r="C14" s="144">
        <v>371.7</v>
      </c>
      <c r="D14" s="145">
        <f t="shared" si="0"/>
        <v>449.75699999999995</v>
      </c>
    </row>
    <row r="15" spans="1:11" x14ac:dyDescent="0.25">
      <c r="A15" s="135">
        <v>410310</v>
      </c>
      <c r="B15" s="51" t="s">
        <v>153</v>
      </c>
      <c r="C15" s="136">
        <v>371.7</v>
      </c>
      <c r="D15" s="137">
        <f t="shared" si="0"/>
        <v>449.75699999999995</v>
      </c>
    </row>
    <row r="16" spans="1:11" x14ac:dyDescent="0.25">
      <c r="A16" s="135">
        <v>412310</v>
      </c>
      <c r="B16" s="51" t="s">
        <v>154</v>
      </c>
      <c r="C16" s="136">
        <v>371.7</v>
      </c>
      <c r="D16" s="137">
        <f t="shared" si="0"/>
        <v>449.75699999999995</v>
      </c>
    </row>
    <row r="17" spans="1:11" x14ac:dyDescent="0.25">
      <c r="A17" s="138">
        <v>415310</v>
      </c>
      <c r="B17" s="139" t="s">
        <v>155</v>
      </c>
      <c r="C17" s="140">
        <v>409.5</v>
      </c>
      <c r="D17" s="141">
        <f t="shared" si="0"/>
        <v>495.495</v>
      </c>
    </row>
    <row r="18" spans="1:11" x14ac:dyDescent="0.25">
      <c r="A18" s="142">
        <v>408111</v>
      </c>
      <c r="B18" s="143" t="s">
        <v>156</v>
      </c>
      <c r="C18" s="144">
        <v>277.2</v>
      </c>
      <c r="D18" s="145">
        <f t="shared" si="0"/>
        <v>335.41199999999998</v>
      </c>
    </row>
    <row r="19" spans="1:11" x14ac:dyDescent="0.25">
      <c r="A19" s="135">
        <v>410111</v>
      </c>
      <c r="B19" s="51" t="s">
        <v>157</v>
      </c>
      <c r="C19" s="136">
        <v>283.5</v>
      </c>
      <c r="D19" s="137">
        <f t="shared" si="0"/>
        <v>343.03499999999997</v>
      </c>
    </row>
    <row r="20" spans="1:11" ht="16.5" thickBot="1" x14ac:dyDescent="0.3">
      <c r="A20" s="146">
        <v>412111</v>
      </c>
      <c r="B20" s="147" t="s">
        <v>158</v>
      </c>
      <c r="C20" s="148">
        <v>289.8</v>
      </c>
      <c r="D20" s="149">
        <f t="shared" si="0"/>
        <v>350.65800000000002</v>
      </c>
    </row>
    <row r="22" spans="1:11" x14ac:dyDescent="0.25">
      <c r="A22" s="150"/>
      <c r="B22" s="139"/>
      <c r="C22" s="139"/>
      <c r="D22" s="139"/>
      <c r="E22" s="151"/>
      <c r="F22" s="151"/>
      <c r="G22" s="151"/>
      <c r="H22" s="151"/>
      <c r="I22" s="151"/>
      <c r="J22" s="151"/>
      <c r="K22" s="151"/>
    </row>
    <row r="23" spans="1:11" ht="35.25" customHeight="1" x14ac:dyDescent="0.25">
      <c r="A23" s="473" t="s">
        <v>159</v>
      </c>
      <c r="B23" s="473"/>
      <c r="C23" s="473"/>
      <c r="D23" s="473"/>
      <c r="E23" s="473"/>
      <c r="F23" s="473"/>
      <c r="G23" s="473"/>
      <c r="H23" s="473"/>
      <c r="I23" s="473"/>
      <c r="J23" s="473"/>
      <c r="K23" s="152"/>
    </row>
    <row r="24" spans="1:11" ht="15.75" customHeight="1" thickBot="1" x14ac:dyDescent="0.3">
      <c r="A24" s="128"/>
      <c r="B24" s="128"/>
      <c r="C24" s="128"/>
      <c r="D24" s="128"/>
      <c r="E24" s="128"/>
      <c r="F24" s="474" t="s">
        <v>160</v>
      </c>
      <c r="G24" s="474"/>
      <c r="H24" s="128"/>
      <c r="I24" s="474" t="s">
        <v>161</v>
      </c>
      <c r="J24" s="474"/>
      <c r="K24" s="128"/>
    </row>
    <row r="25" spans="1:11" ht="16.5" customHeight="1" x14ac:dyDescent="0.25">
      <c r="A25" s="353" t="s">
        <v>10</v>
      </c>
      <c r="B25" s="356" t="s">
        <v>11</v>
      </c>
      <c r="C25" s="358" t="s">
        <v>141</v>
      </c>
      <c r="D25" s="359"/>
    </row>
    <row r="26" spans="1:11" ht="14.25" customHeight="1" x14ac:dyDescent="0.25">
      <c r="A26" s="354"/>
      <c r="B26" s="354"/>
      <c r="C26" s="360"/>
      <c r="D26" s="361"/>
    </row>
    <row r="27" spans="1:11" thickBot="1" x14ac:dyDescent="0.3">
      <c r="A27" s="472"/>
      <c r="B27" s="472"/>
      <c r="C27" s="129" t="s">
        <v>20</v>
      </c>
      <c r="D27" s="130" t="s">
        <v>21</v>
      </c>
    </row>
    <row r="28" spans="1:11" x14ac:dyDescent="0.25">
      <c r="A28" s="131">
        <v>412411</v>
      </c>
      <c r="B28" s="132" t="s">
        <v>162</v>
      </c>
      <c r="C28" s="133">
        <v>194.04000000000002</v>
      </c>
      <c r="D28" s="134">
        <f>C28*1.21</f>
        <v>234.78840000000002</v>
      </c>
    </row>
    <row r="29" spans="1:11" x14ac:dyDescent="0.25">
      <c r="A29" s="135">
        <v>415411</v>
      </c>
      <c r="B29" s="51" t="s">
        <v>163</v>
      </c>
      <c r="C29" s="136">
        <v>226.79999999999998</v>
      </c>
      <c r="D29" s="137">
        <f>C29*1.21</f>
        <v>274.428</v>
      </c>
    </row>
    <row r="30" spans="1:11" x14ac:dyDescent="0.25">
      <c r="A30" s="135">
        <v>410410</v>
      </c>
      <c r="B30" s="51" t="s">
        <v>164</v>
      </c>
      <c r="C30" s="136">
        <v>279.72000000000003</v>
      </c>
      <c r="D30" s="137">
        <f>C30*1.21</f>
        <v>338.46120000000002</v>
      </c>
    </row>
    <row r="31" spans="1:11" ht="16.5" thickBot="1" x14ac:dyDescent="0.3">
      <c r="A31" s="146">
        <v>412410</v>
      </c>
      <c r="B31" s="147" t="s">
        <v>165</v>
      </c>
      <c r="C31" s="148">
        <v>292.32</v>
      </c>
      <c r="D31" s="149">
        <f>C31*1.21</f>
        <v>353.7072</v>
      </c>
    </row>
    <row r="32" spans="1:11" ht="30" customHeight="1" x14ac:dyDescent="0.25">
      <c r="A32" s="470" t="s">
        <v>166</v>
      </c>
      <c r="B32" s="470"/>
      <c r="C32" s="470"/>
      <c r="D32" s="470"/>
      <c r="E32" s="470"/>
      <c r="F32" s="470"/>
      <c r="G32" s="470"/>
      <c r="H32" s="470"/>
      <c r="I32" s="470"/>
      <c r="J32" s="470"/>
      <c r="K32" s="126" t="str">
        <f>K1</f>
        <v>ceník platný od 16.3.2022</v>
      </c>
    </row>
    <row r="33" spans="1:11" ht="20.25" customHeight="1" thickBot="1" x14ac:dyDescent="0.3">
      <c r="A33" s="127"/>
      <c r="B33" s="127"/>
      <c r="C33" s="127"/>
      <c r="D33" s="127"/>
      <c r="E33" s="127"/>
      <c r="F33" s="471" t="s">
        <v>167</v>
      </c>
      <c r="G33" s="471"/>
      <c r="H33" s="127"/>
      <c r="I33" s="127"/>
      <c r="J33" s="127"/>
      <c r="K33" s="127"/>
    </row>
    <row r="34" spans="1:11" ht="16.5" customHeight="1" x14ac:dyDescent="0.25">
      <c r="A34" s="353" t="s">
        <v>10</v>
      </c>
      <c r="B34" s="356" t="s">
        <v>11</v>
      </c>
      <c r="C34" s="358" t="s">
        <v>141</v>
      </c>
      <c r="D34" s="359"/>
    </row>
    <row r="35" spans="1:11" ht="14.25" customHeight="1" x14ac:dyDescent="0.25">
      <c r="A35" s="354"/>
      <c r="B35" s="354"/>
      <c r="C35" s="360"/>
      <c r="D35" s="361"/>
    </row>
    <row r="36" spans="1:11" thickBot="1" x14ac:dyDescent="0.3">
      <c r="A36" s="472"/>
      <c r="B36" s="472"/>
      <c r="C36" s="129" t="s">
        <v>20</v>
      </c>
      <c r="D36" s="130" t="s">
        <v>21</v>
      </c>
    </row>
    <row r="37" spans="1:11" x14ac:dyDescent="0.25">
      <c r="A37" s="131">
        <v>410150</v>
      </c>
      <c r="B37" s="132" t="s">
        <v>168</v>
      </c>
      <c r="C37" s="133">
        <v>235.61999999999998</v>
      </c>
      <c r="D37" s="134">
        <f>C37*1.21</f>
        <v>285.10019999999997</v>
      </c>
    </row>
    <row r="38" spans="1:11" x14ac:dyDescent="0.25">
      <c r="A38" s="135">
        <v>413150</v>
      </c>
      <c r="B38" s="51" t="s">
        <v>169</v>
      </c>
      <c r="C38" s="136">
        <v>340.2</v>
      </c>
      <c r="D38" s="137">
        <f>C38*1.21</f>
        <v>411.642</v>
      </c>
    </row>
    <row r="39" spans="1:11" ht="16.5" thickBot="1" x14ac:dyDescent="0.3">
      <c r="A39" s="146">
        <v>413151</v>
      </c>
      <c r="B39" s="147" t="s">
        <v>170</v>
      </c>
      <c r="C39" s="148">
        <v>386.82</v>
      </c>
      <c r="D39" s="149">
        <f>C39*1.21</f>
        <v>468.05219999999997</v>
      </c>
    </row>
    <row r="40" spans="1:11" x14ac:dyDescent="0.25">
      <c r="A40" s="52"/>
      <c r="B40" s="51"/>
      <c r="C40" s="153"/>
      <c r="D40" s="153"/>
    </row>
    <row r="41" spans="1:11" x14ac:dyDescent="0.25">
      <c r="A41" s="52"/>
      <c r="B41" s="51"/>
      <c r="C41" s="153"/>
      <c r="D41" s="153"/>
    </row>
    <row r="42" spans="1:11" x14ac:dyDescent="0.25">
      <c r="A42" s="52"/>
      <c r="B42" s="51"/>
      <c r="C42" s="51"/>
      <c r="D42" s="51"/>
      <c r="E42" s="40"/>
      <c r="F42" s="40"/>
      <c r="G42" s="40"/>
      <c r="H42" s="40"/>
      <c r="I42" s="40"/>
      <c r="J42" s="40"/>
      <c r="K42" s="40"/>
    </row>
    <row r="43" spans="1:11" ht="30.75" customHeight="1" x14ac:dyDescent="0.25">
      <c r="A43" s="473" t="s">
        <v>171</v>
      </c>
      <c r="B43" s="473"/>
      <c r="C43" s="473"/>
      <c r="D43" s="473"/>
      <c r="E43" s="473"/>
      <c r="F43" s="473"/>
      <c r="G43" s="473"/>
      <c r="H43" s="473"/>
      <c r="I43" s="473"/>
      <c r="J43" s="473"/>
      <c r="K43" s="152"/>
    </row>
    <row r="44" spans="1:11" ht="18" customHeight="1" thickBot="1" x14ac:dyDescent="0.3">
      <c r="A44" s="127"/>
      <c r="B44" s="127"/>
      <c r="C44" s="127"/>
      <c r="D44" s="127"/>
      <c r="E44" s="127"/>
      <c r="F44" s="471" t="s">
        <v>172</v>
      </c>
      <c r="G44" s="471"/>
      <c r="H44" s="127"/>
      <c r="I44" s="471" t="s">
        <v>173</v>
      </c>
      <c r="J44" s="471"/>
      <c r="K44" s="127"/>
    </row>
    <row r="45" spans="1:11" ht="16.5" customHeight="1" x14ac:dyDescent="0.25">
      <c r="A45" s="475" t="s">
        <v>10</v>
      </c>
      <c r="B45" s="477" t="s">
        <v>11</v>
      </c>
      <c r="C45" s="479" t="s">
        <v>141</v>
      </c>
      <c r="D45" s="480"/>
      <c r="F45" s="471"/>
      <c r="G45" s="471"/>
    </row>
    <row r="46" spans="1:11" ht="14.25" customHeight="1" x14ac:dyDescent="0.25">
      <c r="A46" s="476"/>
      <c r="B46" s="478"/>
      <c r="C46" s="481"/>
      <c r="D46" s="482"/>
    </row>
    <row r="47" spans="1:11" thickBot="1" x14ac:dyDescent="0.3">
      <c r="A47" s="476"/>
      <c r="B47" s="478"/>
      <c r="C47" s="129" t="s">
        <v>20</v>
      </c>
      <c r="D47" s="130" t="s">
        <v>21</v>
      </c>
    </row>
    <row r="48" spans="1:11" x14ac:dyDescent="0.25">
      <c r="A48" s="131">
        <v>408121</v>
      </c>
      <c r="B48" s="132" t="s">
        <v>174</v>
      </c>
      <c r="C48" s="133">
        <v>680.4</v>
      </c>
      <c r="D48" s="154">
        <f t="shared" ref="D48:D63" si="1">C48*1.21</f>
        <v>823.28399999999999</v>
      </c>
    </row>
    <row r="49" spans="1:11" x14ac:dyDescent="0.25">
      <c r="A49" s="135">
        <v>408123</v>
      </c>
      <c r="B49" s="51" t="s">
        <v>175</v>
      </c>
      <c r="C49" s="136">
        <v>680.4</v>
      </c>
      <c r="D49" s="155">
        <f t="shared" si="1"/>
        <v>823.28399999999999</v>
      </c>
    </row>
    <row r="50" spans="1:11" x14ac:dyDescent="0.25">
      <c r="A50" s="135">
        <v>408124</v>
      </c>
      <c r="B50" s="51" t="s">
        <v>176</v>
      </c>
      <c r="C50" s="136">
        <v>680.4</v>
      </c>
      <c r="D50" s="155">
        <f t="shared" si="1"/>
        <v>823.28399999999999</v>
      </c>
    </row>
    <row r="51" spans="1:11" x14ac:dyDescent="0.25">
      <c r="A51" s="138">
        <v>408122</v>
      </c>
      <c r="B51" s="139" t="s">
        <v>177</v>
      </c>
      <c r="C51" s="140">
        <v>680.4</v>
      </c>
      <c r="D51" s="156">
        <f t="shared" si="1"/>
        <v>823.28399999999999</v>
      </c>
    </row>
    <row r="52" spans="1:11" x14ac:dyDescent="0.25">
      <c r="A52" s="142">
        <v>410121</v>
      </c>
      <c r="B52" s="143" t="s">
        <v>178</v>
      </c>
      <c r="C52" s="144">
        <v>705.6</v>
      </c>
      <c r="D52" s="157">
        <f t="shared" si="1"/>
        <v>853.77599999999995</v>
      </c>
    </row>
    <row r="53" spans="1:11" x14ac:dyDescent="0.25">
      <c r="A53" s="135">
        <v>410123</v>
      </c>
      <c r="B53" s="51" t="s">
        <v>179</v>
      </c>
      <c r="C53" s="136">
        <v>705.6</v>
      </c>
      <c r="D53" s="155">
        <f t="shared" si="1"/>
        <v>853.77599999999995</v>
      </c>
    </row>
    <row r="54" spans="1:11" x14ac:dyDescent="0.25">
      <c r="A54" s="135">
        <v>410124</v>
      </c>
      <c r="B54" s="51" t="s">
        <v>180</v>
      </c>
      <c r="C54" s="136">
        <v>705.6</v>
      </c>
      <c r="D54" s="155">
        <f t="shared" si="1"/>
        <v>853.77599999999995</v>
      </c>
      <c r="F54" s="471" t="s">
        <v>181</v>
      </c>
      <c r="G54" s="471"/>
      <c r="I54" s="471" t="s">
        <v>182</v>
      </c>
      <c r="J54" s="471"/>
    </row>
    <row r="55" spans="1:11" x14ac:dyDescent="0.25">
      <c r="A55" s="138">
        <v>410122</v>
      </c>
      <c r="B55" s="139" t="s">
        <v>183</v>
      </c>
      <c r="C55" s="140">
        <v>705.6</v>
      </c>
      <c r="D55" s="156">
        <f t="shared" si="1"/>
        <v>853.77599999999995</v>
      </c>
    </row>
    <row r="56" spans="1:11" x14ac:dyDescent="0.25">
      <c r="A56" s="142">
        <v>412121</v>
      </c>
      <c r="B56" s="143" t="s">
        <v>184</v>
      </c>
      <c r="C56" s="144">
        <v>781.19999999999993</v>
      </c>
      <c r="D56" s="157">
        <f t="shared" si="1"/>
        <v>945.25199999999984</v>
      </c>
    </row>
    <row r="57" spans="1:11" x14ac:dyDescent="0.25">
      <c r="A57" s="135">
        <v>412123</v>
      </c>
      <c r="B57" s="51" t="s">
        <v>185</v>
      </c>
      <c r="C57" s="136">
        <v>781.19999999999993</v>
      </c>
      <c r="D57" s="155">
        <f t="shared" si="1"/>
        <v>945.25199999999984</v>
      </c>
    </row>
    <row r="58" spans="1:11" x14ac:dyDescent="0.25">
      <c r="A58" s="135">
        <v>412124</v>
      </c>
      <c r="B58" s="51" t="s">
        <v>186</v>
      </c>
      <c r="C58" s="136">
        <v>781.19999999999993</v>
      </c>
      <c r="D58" s="155">
        <f t="shared" si="1"/>
        <v>945.25199999999984</v>
      </c>
    </row>
    <row r="59" spans="1:11" x14ac:dyDescent="0.25">
      <c r="A59" s="138">
        <v>412122</v>
      </c>
      <c r="B59" s="139" t="s">
        <v>187</v>
      </c>
      <c r="C59" s="140">
        <v>781.19999999999993</v>
      </c>
      <c r="D59" s="156">
        <f t="shared" si="1"/>
        <v>945.25199999999984</v>
      </c>
    </row>
    <row r="60" spans="1:11" x14ac:dyDescent="0.25">
      <c r="A60" s="142">
        <v>415121</v>
      </c>
      <c r="B60" s="143" t="s">
        <v>188</v>
      </c>
      <c r="C60" s="144">
        <v>907.19999999999993</v>
      </c>
      <c r="D60" s="157">
        <f t="shared" si="1"/>
        <v>1097.712</v>
      </c>
    </row>
    <row r="61" spans="1:11" x14ac:dyDescent="0.25">
      <c r="A61" s="135">
        <v>415123</v>
      </c>
      <c r="B61" s="51" t="s">
        <v>189</v>
      </c>
      <c r="C61" s="136">
        <v>907.19999999999993</v>
      </c>
      <c r="D61" s="155">
        <f t="shared" si="1"/>
        <v>1097.712</v>
      </c>
    </row>
    <row r="62" spans="1:11" x14ac:dyDescent="0.25">
      <c r="A62" s="135">
        <v>415124</v>
      </c>
      <c r="B62" s="51" t="s">
        <v>190</v>
      </c>
      <c r="C62" s="136">
        <v>907.19999999999993</v>
      </c>
      <c r="D62" s="155">
        <f t="shared" si="1"/>
        <v>1097.712</v>
      </c>
    </row>
    <row r="63" spans="1:11" ht="16.5" thickBot="1" x14ac:dyDescent="0.3">
      <c r="A63" s="146">
        <v>415122</v>
      </c>
      <c r="B63" s="147" t="s">
        <v>191</v>
      </c>
      <c r="C63" s="148">
        <v>907.19999999999993</v>
      </c>
      <c r="D63" s="158">
        <f t="shared" si="1"/>
        <v>1097.712</v>
      </c>
    </row>
    <row r="64" spans="1:11" ht="35.25" customHeight="1" x14ac:dyDescent="0.25">
      <c r="A64" s="470" t="s">
        <v>192</v>
      </c>
      <c r="B64" s="470"/>
      <c r="C64" s="470"/>
      <c r="D64" s="470"/>
      <c r="E64" s="470"/>
      <c r="F64" s="470"/>
      <c r="G64" s="470"/>
      <c r="H64" s="470"/>
      <c r="I64" s="470"/>
      <c r="J64" s="470"/>
      <c r="K64" s="159" t="str">
        <f>K1</f>
        <v>ceník platný od 16.3.2022</v>
      </c>
    </row>
    <row r="65" spans="1:11" ht="20.25" customHeight="1" thickBot="1" x14ac:dyDescent="0.3">
      <c r="A65" s="127"/>
      <c r="B65" s="127"/>
      <c r="C65" s="127"/>
      <c r="D65" s="127"/>
      <c r="E65" s="471" t="s">
        <v>193</v>
      </c>
      <c r="F65" s="471"/>
      <c r="G65" s="471"/>
      <c r="H65" s="471" t="s">
        <v>194</v>
      </c>
      <c r="I65" s="471"/>
      <c r="J65" s="471"/>
      <c r="K65" s="471"/>
    </row>
    <row r="66" spans="1:11" ht="16.5" customHeight="1" x14ac:dyDescent="0.25">
      <c r="A66" s="475" t="s">
        <v>10</v>
      </c>
      <c r="B66" s="477" t="s">
        <v>11</v>
      </c>
      <c r="C66" s="479" t="s">
        <v>141</v>
      </c>
      <c r="D66" s="480"/>
    </row>
    <row r="67" spans="1:11" ht="14.25" customHeight="1" x14ac:dyDescent="0.25">
      <c r="A67" s="476"/>
      <c r="B67" s="478"/>
      <c r="C67" s="481"/>
      <c r="D67" s="482"/>
    </row>
    <row r="68" spans="1:11" thickBot="1" x14ac:dyDescent="0.3">
      <c r="A68" s="476"/>
      <c r="B68" s="478"/>
      <c r="C68" s="129" t="s">
        <v>20</v>
      </c>
      <c r="D68" s="130" t="s">
        <v>21</v>
      </c>
    </row>
    <row r="69" spans="1:11" x14ac:dyDescent="0.25">
      <c r="A69" s="160">
        <v>400058</v>
      </c>
      <c r="B69" s="161" t="s">
        <v>195</v>
      </c>
      <c r="C69" s="162">
        <v>352.8</v>
      </c>
      <c r="D69" s="163">
        <f t="shared" ref="D69:D75" si="2">C69*1.21</f>
        <v>426.88799999999998</v>
      </c>
    </row>
    <row r="70" spans="1:11" x14ac:dyDescent="0.25">
      <c r="A70" s="142">
        <v>400231</v>
      </c>
      <c r="B70" s="143" t="s">
        <v>196</v>
      </c>
      <c r="C70" s="144">
        <v>443.52000000000004</v>
      </c>
      <c r="D70" s="164">
        <f t="shared" si="2"/>
        <v>536.65920000000006</v>
      </c>
    </row>
    <row r="71" spans="1:11" x14ac:dyDescent="0.25">
      <c r="A71" s="138">
        <v>400230</v>
      </c>
      <c r="B71" s="139" t="s">
        <v>197</v>
      </c>
      <c r="C71" s="140">
        <v>396.9</v>
      </c>
      <c r="D71" s="165">
        <f t="shared" si="2"/>
        <v>480.24899999999997</v>
      </c>
    </row>
    <row r="72" spans="1:11" x14ac:dyDescent="0.25">
      <c r="A72" s="142">
        <v>400240</v>
      </c>
      <c r="B72" s="143" t="s">
        <v>198</v>
      </c>
      <c r="C72" s="144">
        <v>934.92</v>
      </c>
      <c r="D72" s="276">
        <f t="shared" si="2"/>
        <v>1131.2531999999999</v>
      </c>
    </row>
    <row r="73" spans="1:11" x14ac:dyDescent="0.25">
      <c r="A73" s="138">
        <v>400241</v>
      </c>
      <c r="B73" s="139" t="s">
        <v>199</v>
      </c>
      <c r="C73" s="140">
        <v>405.72</v>
      </c>
      <c r="D73" s="165">
        <f t="shared" si="2"/>
        <v>490.9212</v>
      </c>
    </row>
    <row r="74" spans="1:11" x14ac:dyDescent="0.25">
      <c r="A74" s="142">
        <v>400250</v>
      </c>
      <c r="B74" s="143" t="s">
        <v>200</v>
      </c>
      <c r="C74" s="275">
        <v>1110.06</v>
      </c>
      <c r="D74" s="166">
        <f t="shared" si="2"/>
        <v>1343.1725999999999</v>
      </c>
    </row>
    <row r="75" spans="1:11" ht="16.5" thickBot="1" x14ac:dyDescent="0.3">
      <c r="A75" s="146">
        <v>400251</v>
      </c>
      <c r="B75" s="147" t="s">
        <v>201</v>
      </c>
      <c r="C75" s="148">
        <v>415.8</v>
      </c>
      <c r="D75" s="149">
        <f t="shared" si="2"/>
        <v>503.11799999999999</v>
      </c>
      <c r="E75" s="471" t="s">
        <v>202</v>
      </c>
      <c r="F75" s="471"/>
      <c r="G75" s="471"/>
      <c r="H75" s="471" t="s">
        <v>203</v>
      </c>
      <c r="I75" s="471"/>
      <c r="J75" s="471"/>
      <c r="K75" s="471"/>
    </row>
    <row r="85" spans="5:11" x14ac:dyDescent="0.25">
      <c r="E85" s="471" t="s">
        <v>204</v>
      </c>
      <c r="F85" s="471"/>
      <c r="G85" s="471"/>
      <c r="H85" s="471" t="s">
        <v>205</v>
      </c>
      <c r="I85" s="471"/>
      <c r="J85" s="471"/>
      <c r="K85" s="471"/>
    </row>
  </sheetData>
  <sheetProtection formatCells="0" formatColumns="0" formatRows="0" insertColumns="0" insertRows="0" insertHyperlinks="0" deleteColumns="0" deleteRows="0" sort="0" autoFilter="0" pivotTables="0"/>
  <mergeCells count="38">
    <mergeCell ref="E75:G75"/>
    <mergeCell ref="H75:K75"/>
    <mergeCell ref="E85:G85"/>
    <mergeCell ref="H85:K85"/>
    <mergeCell ref="F54:G54"/>
    <mergeCell ref="I54:J54"/>
    <mergeCell ref="A64:J64"/>
    <mergeCell ref="E65:G65"/>
    <mergeCell ref="H65:K65"/>
    <mergeCell ref="A66:A68"/>
    <mergeCell ref="B66:B68"/>
    <mergeCell ref="C66:D67"/>
    <mergeCell ref="F44:G44"/>
    <mergeCell ref="I44:J44"/>
    <mergeCell ref="A45:A47"/>
    <mergeCell ref="B45:B47"/>
    <mergeCell ref="C45:D46"/>
    <mergeCell ref="F45:G45"/>
    <mergeCell ref="A43:J43"/>
    <mergeCell ref="F12:G12"/>
    <mergeCell ref="I12:J12"/>
    <mergeCell ref="A23:J23"/>
    <mergeCell ref="F24:G24"/>
    <mergeCell ref="I24:J24"/>
    <mergeCell ref="A25:A27"/>
    <mergeCell ref="B25:B27"/>
    <mergeCell ref="C25:D26"/>
    <mergeCell ref="A32:J32"/>
    <mergeCell ref="F33:G33"/>
    <mergeCell ref="A34:A36"/>
    <mergeCell ref="B34:B36"/>
    <mergeCell ref="C34:D35"/>
    <mergeCell ref="A1:J1"/>
    <mergeCell ref="F2:G2"/>
    <mergeCell ref="I2:J2"/>
    <mergeCell ref="A3:A5"/>
    <mergeCell ref="B3:B5"/>
    <mergeCell ref="C3:D4"/>
  </mergeCells>
  <printOptions horizontalCentered="1" verticalCentered="1"/>
  <pageMargins left="0.78740157480314965" right="0" top="0.78740157480314965" bottom="0" header="0" footer="0"/>
  <pageSetup paperSize="9" orientation="landscape" r:id="rId1"/>
  <headerFooter>
    <oddHeader>&amp;L       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74</vt:i4>
      </vt:variant>
    </vt:vector>
  </HeadingPairs>
  <TitlesOfParts>
    <vt:vector size="83" baseType="lpstr">
      <vt:lpstr>CENIK</vt:lpstr>
      <vt:lpstr>SEZNAMY</vt:lpstr>
      <vt:lpstr>List9</vt:lpstr>
      <vt:lpstr>spotřeba</vt:lpstr>
      <vt:lpstr>Ceník EMZ 80</vt:lpstr>
      <vt:lpstr>Ceník EMZ 100</vt:lpstr>
      <vt:lpstr>WALL</vt:lpstr>
      <vt:lpstr>chemie</vt:lpstr>
      <vt:lpstr>lišty</vt:lpstr>
      <vt:lpstr>BEZ_PLNICE</vt:lpstr>
      <vt:lpstr>CENA_HYDRO</vt:lpstr>
      <vt:lpstr>CENA_PENETRACE</vt:lpstr>
      <vt:lpstr>CENA_PLNICE</vt:lpstr>
      <vt:lpstr>CENA_POSYPU</vt:lpstr>
      <vt:lpstr>CENIK_EMZ_100</vt:lpstr>
      <vt:lpstr>CENIK_EMZ_80</vt:lpstr>
      <vt:lpstr>CENIK_WALL</vt:lpstr>
      <vt:lpstr>CISLO_RADKU</vt:lpstr>
      <vt:lpstr>DOPORUCENO_SETU</vt:lpstr>
      <vt:lpstr>DOPORUCENO_SETU_SVISLA</vt:lpstr>
      <vt:lpstr>DRUH_KAMENIVA</vt:lpstr>
      <vt:lpstr>DRUH_KOBERCE</vt:lpstr>
      <vt:lpstr>DRUH_MISTA</vt:lpstr>
      <vt:lpstr>DRUH_PLNICE</vt:lpstr>
      <vt:lpstr>DRUH_PROSTORU</vt:lpstr>
      <vt:lpstr>DRUH_WALL_KAMENIVA</vt:lpstr>
      <vt:lpstr>HYDRO</vt:lpstr>
      <vt:lpstr>HYDROIZOLACE</vt:lpstr>
      <vt:lpstr>CHCI_HYDROIZOLACI</vt:lpstr>
      <vt:lpstr>CHCI_PENETRACI</vt:lpstr>
      <vt:lpstr>CHCI_PLNIC</vt:lpstr>
      <vt:lpstr>CHCI_POSYP</vt:lpstr>
      <vt:lpstr>JEDNOTKA</vt:lpstr>
      <vt:lpstr>JEDNOTKA_SVISLA</vt:lpstr>
      <vt:lpstr>MOJE_FRAKCE</vt:lpstr>
      <vt:lpstr>'Ceník EMZ 100'!Názvy_tisku</vt:lpstr>
      <vt:lpstr>'Ceník EMZ 80'!Názvy_tisku</vt:lpstr>
      <vt:lpstr>OBJ_KAMENIVO</vt:lpstr>
      <vt:lpstr>OBJ_KOD</vt:lpstr>
      <vt:lpstr>OBJ_SVISLY_KAMENIVO</vt:lpstr>
      <vt:lpstr>OBJ_SVISLY_KOD</vt:lpstr>
      <vt:lpstr>CENIK!Oblast_tisku</vt:lpstr>
      <vt:lpstr>'Ceník EMZ 100'!Oblast_tisku</vt:lpstr>
      <vt:lpstr>'Ceník EMZ 80'!Oblast_tisku</vt:lpstr>
      <vt:lpstr>PENETRACE</vt:lpstr>
      <vt:lpstr>Penetrace_VP</vt:lpstr>
      <vt:lpstr>PENETRACNI_POSYP</vt:lpstr>
      <vt:lpstr>PLNIC_100</vt:lpstr>
      <vt:lpstr>PLNIC_60</vt:lpstr>
      <vt:lpstr>PLNIC_80</vt:lpstr>
      <vt:lpstr>PLNIC_poru</vt:lpstr>
      <vt:lpstr>POCET_HYDRO</vt:lpstr>
      <vt:lpstr>POCET_PENETRACE</vt:lpstr>
      <vt:lpstr>POCET_PLNIC</vt:lpstr>
      <vt:lpstr>POCET_POSYP</vt:lpstr>
      <vt:lpstr>POCET_SETU_ZAKLAD</vt:lpstr>
      <vt:lpstr>POCET_SETU_ZAKLAD_SVISLA</vt:lpstr>
      <vt:lpstr>Poszp_VP</vt:lpstr>
      <vt:lpstr>RADEK_SVISLA_PLOCHA</vt:lpstr>
      <vt:lpstr>SEZNAM_KAMENIVA</vt:lpstr>
      <vt:lpstr>SEZNAM_PLNICU</vt:lpstr>
      <vt:lpstr>SEZNAM_WALL_KAMENIVA</vt:lpstr>
      <vt:lpstr>SP_FRAKCE</vt:lpstr>
      <vt:lpstr>SP_KOD</vt:lpstr>
      <vt:lpstr>SP_SET</vt:lpstr>
      <vt:lpstr>SPOTREBA_vodorovna</vt:lpstr>
      <vt:lpstr>SPOTREBA_VSE</vt:lpstr>
      <vt:lpstr>SVISLA_FRAKCE</vt:lpstr>
      <vt:lpstr>TEST_VYBERU</vt:lpstr>
      <vt:lpstr>TEST1</vt:lpstr>
      <vt:lpstr>TEST2</vt:lpstr>
      <vt:lpstr>TLOUSTKA_SVISLA</vt:lpstr>
      <vt:lpstr>VP_FRAKCE</vt:lpstr>
      <vt:lpstr>VP_KOD</vt:lpstr>
      <vt:lpstr>VP_SET</vt:lpstr>
      <vt:lpstr>VSECHNY_PLNICE</vt:lpstr>
      <vt:lpstr>VYBER_PRO_CENNIK</vt:lpstr>
      <vt:lpstr>VYBRANA_TLOUSTKA</vt:lpstr>
      <vt:lpstr>VYBRANA_TLOUSTKA_SVISLA</vt:lpstr>
      <vt:lpstr>VYPOCET_10_PROCENT</vt:lpstr>
      <vt:lpstr>VYPOCET_10_PROCENT_SVISLA</vt:lpstr>
      <vt:lpstr>ZADANA_PLOCHA</vt:lpstr>
      <vt:lpstr>ZADANA_svisla_PLOCHA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2022-03-17T12:02:10Z</cp:lastPrinted>
  <dcterms:created xsi:type="dcterms:W3CDTF">2021-02-27T10:34:26Z</dcterms:created>
  <dcterms:modified xsi:type="dcterms:W3CDTF">2022-04-11T10:06:58Z</dcterms:modified>
</cp:coreProperties>
</file>